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URBANISMO\PAVIMENTAÇÕES 2017\ROTATÓRIAS ARAPONGUINHAS E PONTE\CE 4 PROJETO FINAL\05-03 ROTATÓRIAS ULTIMA CORREÇÃO\ORÇAMENTO FINAL\Licitação\"/>
    </mc:Choice>
  </mc:AlternateContent>
  <bookViews>
    <workbookView xWindow="0" yWindow="0" windowWidth="24000" windowHeight="9735" tabRatio="955" activeTab="2"/>
  </bookViews>
  <sheets>
    <sheet name="ORÇAMENTO" sheetId="21" r:id="rId1"/>
    <sheet name="COMP" sheetId="24" r:id="rId2"/>
    <sheet name="cronograma" sheetId="22" r:id="rId3"/>
    <sheet name="C GERAL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#N/A</definedName>
    <definedName name="\e">#N/A</definedName>
    <definedName name="__SL6">#N/A</definedName>
    <definedName name="_expansao">#REF!</definedName>
    <definedName name="_expansao___0">#REF!</definedName>
    <definedName name="_expansao___2">#REF!</definedName>
    <definedName name="_xlnm._FilterDatabase" localSheetId="0" hidden="1">ORÇAMENTO!#REF!</definedName>
    <definedName name="_Key1" hidden="1">#REF!</definedName>
    <definedName name="_Key2" hidden="1">#REF!</definedName>
    <definedName name="_MAT1">[1]EQUIP!#REF!</definedName>
    <definedName name="_Order1" hidden="1">255</definedName>
    <definedName name="_Order2" hidden="1">255</definedName>
    <definedName name="_SL6">#N/A</definedName>
    <definedName name="_Sort" hidden="1">#REF!</definedName>
    <definedName name="A">[2]MDO!#REF!</definedName>
    <definedName name="AAA">#REF!</definedName>
    <definedName name="aaaaaaa" hidden="1">#REF!</definedName>
    <definedName name="ABRE_COLUNAS">#N/A</definedName>
    <definedName name="ACERTA_TITULOS">#N/A</definedName>
    <definedName name="ar">#REF!</definedName>
    <definedName name="_xlnm.Extract">#REF!</definedName>
    <definedName name="_xlnm.Print_Area" localSheetId="1">COMP!$A$1:$G$221</definedName>
    <definedName name="_xlnm.Print_Area" localSheetId="0">ORÇAMENTO!$A$1:$J$495</definedName>
    <definedName name="Área_impressão_IM">#REF!</definedName>
    <definedName name="ASP">#REF!</definedName>
    <definedName name="BANCO">#REF!</definedName>
    <definedName name="_xlnm.Database">#REF!</definedName>
    <definedName name="BANCO1">#REF!</definedName>
    <definedName name="BANCO2">#REF!</definedName>
    <definedName name="BANCO3">#REF!</definedName>
    <definedName name="BANCO4">#REF!</definedName>
    <definedName name="bdi">#REF!</definedName>
    <definedName name="BLOCO_BEEP">#N/A</definedName>
    <definedName name="BLOCO_IMPRESSAO">#N/A</definedName>
    <definedName name="BLOCO_SI">#N/A</definedName>
    <definedName name="bocais">#REF!</definedName>
    <definedName name="bocais___0">#REF!</definedName>
    <definedName name="bocais___2">#REF!</definedName>
    <definedName name="Bomba_putzmeister">#REF!</definedName>
    <definedName name="calculo_de_hf">#REF!</definedName>
    <definedName name="calculo_de_hf___0">#REF!</definedName>
    <definedName name="calculo_de_hf___2">#REF!</definedName>
    <definedName name="Capa1">#REF!</definedName>
    <definedName name="CODIGO">#REF!</definedName>
    <definedName name="Código">#REF!</definedName>
    <definedName name="COMEÇO">'[3]CAPA -1'!#REF!</definedName>
    <definedName name="CONTADOR">#N/A</definedName>
    <definedName name="CPAV">#REF!</definedName>
    <definedName name="_xlnm.Criteria">'[4]MV cubicle'!#REF!</definedName>
    <definedName name="cu" hidden="1">#REF!</definedName>
    <definedName name="D">[5]Serviços!$A:$I</definedName>
    <definedName name="Data">#REF!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f">[5]Serviços!$A:$I</definedName>
    <definedName name="DIMENSIONAMENTO_DE_TUBULAÇÃO">#REF!</definedName>
    <definedName name="DIMENSIONAMENTO_DE_TUBULAÇÃO___0">#REF!</definedName>
    <definedName name="DIMENSIONAMENTO_DE_TUBULAÇÃO___2">#REF!</definedName>
    <definedName name="DIST">#REF!</definedName>
    <definedName name="DIST1">#REF!</definedName>
    <definedName name="DIST10">#REF!</definedName>
    <definedName name="DIST2">#REF!</definedName>
    <definedName name="DT">[6]Dados!$A$6</definedName>
    <definedName name="DTUBOS">#REF!</definedName>
    <definedName name="DTUBOS___0">#REF!</definedName>
    <definedName name="DTUBOS___2">#REF!</definedName>
    <definedName name="E">#REF!</definedName>
    <definedName name="E_ESQUERDA">#N/A</definedName>
    <definedName name="Edital">#REF!</definedName>
    <definedName name="EQPTO">#REF!</definedName>
    <definedName name="equipamento">#REF!</definedName>
    <definedName name="ERRO">#N/A</definedName>
    <definedName name="Excel_BuiltIn__FilterDatabase_1">'[7]REPROGRAMAÇÃO ORÇAMENTO'!#REF!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pansão">#REF!</definedName>
    <definedName name="FINAL">#N/A</definedName>
    <definedName name="FUNCAO">#N/A</definedName>
    <definedName name="FUNCAO_1">#N/A</definedName>
    <definedName name="FUNCAO_3">#N/A</definedName>
    <definedName name="FUNCAO_TITULOS">#N/A</definedName>
    <definedName name="Hilfetext">"Bearbeitungsfeld 20"</definedName>
    <definedName name="IA">#N/A</definedName>
    <definedName name="insumos">#REF!</definedName>
    <definedName name="ITEM">#REF!</definedName>
    <definedName name="L_">#N/A</definedName>
    <definedName name="Licitante">'[8]2.1.1'!$B$3</definedName>
    <definedName name="lp">#REF!</definedName>
    <definedName name="Mão_de_Obra">#REF!</definedName>
    <definedName name="MAT">[1]EQUIP!#REF!</definedName>
    <definedName name="materiais">#REF!</definedName>
    <definedName name="MENSAGEM">#N/A</definedName>
    <definedName name="MENSSAGEM_ERRO">#N/A</definedName>
    <definedName name="MO">[1]EQUIP!#REF!</definedName>
    <definedName name="N_FOLHAS">#N/A</definedName>
    <definedName name="Objeto">#REF!</definedName>
    <definedName name="OI" hidden="1">#REF!</definedName>
    <definedName name="PL_ABC">#REF!</definedName>
    <definedName name="planilha">#REF!</definedName>
    <definedName name="Print_Area_MI">[9]RESGER!#REF!</definedName>
    <definedName name="Print_Titles_MI">[9]RESGER!$1:$9,[9]RESGER!$E:$E</definedName>
    <definedName name="QA">#N/A</definedName>
    <definedName name="reducao">#REF!</definedName>
    <definedName name="reducao___0">#REF!</definedName>
    <definedName name="reducao___2">#REF!</definedName>
    <definedName name="RES_CPS">#REF!</definedName>
    <definedName name="RETORNA_CURSOR">#N/A</definedName>
    <definedName name="SchDialog">"Schaltfläche 10"</definedName>
    <definedName name="SchPrüfen">"Schaltfläche 8"</definedName>
    <definedName name="Serviços">[10]Serviços!$A:$I</definedName>
    <definedName name="SOBE_ATE_I_0">#N/A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SUCCAO">#REF!</definedName>
    <definedName name="SUCCAO___0">#REF!</definedName>
    <definedName name="SUCCAO___2">#REF!</definedName>
    <definedName name="TABELA">#REF!</definedName>
    <definedName name="tabtubo">#REF!</definedName>
    <definedName name="tabtubo___0">#REF!</definedName>
    <definedName name="tabtubo___2">#REF!</definedName>
    <definedName name="TABTUBOMM">#REF!</definedName>
    <definedName name="TABTUBOMM___0">#REF!</definedName>
    <definedName name="TABTUBOMM___2">#REF!</definedName>
    <definedName name="Texto1" localSheetId="0">ORÇAMENTO!#REF!</definedName>
    <definedName name="Texto10" localSheetId="0">ORÇAMENTO!#REF!</definedName>
    <definedName name="Texto12" localSheetId="0">ORÇAMENTO!#REF!</definedName>
    <definedName name="Texto13" localSheetId="0">ORÇAMENTO!#REF!</definedName>
    <definedName name="Texto14" localSheetId="0">ORÇAMENTO!#REF!</definedName>
    <definedName name="Texto15" localSheetId="0">ORÇAMENTO!#REF!</definedName>
    <definedName name="Texto16" localSheetId="0">ORÇAMENTO!#REF!</definedName>
    <definedName name="Texto2" localSheetId="0">ORÇAMENTO!#REF!</definedName>
    <definedName name="Texto3" localSheetId="0">ORÇAMENTO!#REF!</definedName>
    <definedName name="Texto4" localSheetId="0">ORÇAMENTO!#REF!</definedName>
    <definedName name="Texto42" localSheetId="0">ORÇAMENTO!#REF!</definedName>
    <definedName name="Texto43" localSheetId="0">ORÇAMENTO!#REF!</definedName>
    <definedName name="Texto5" localSheetId="0">ORÇAMENTO!#REF!</definedName>
    <definedName name="Texto7" localSheetId="0">ORÇAMENTO!#REF!</definedName>
    <definedName name="Texto8" localSheetId="0">ORÇAMENTO!#REF!</definedName>
    <definedName name="Texto9" localSheetId="0">ORÇAMENTO!#REF!</definedName>
    <definedName name="_xlnm.Print_Titles" localSheetId="0">ORÇAMENTO!$1:$9</definedName>
    <definedName name="total">#REF!</definedName>
    <definedName name="Tubos_PRFV">#REF!</definedName>
    <definedName name="Tubos_PRFV___0">#REF!</definedName>
    <definedName name="Tubos_PRFV___2">#REF!</definedName>
    <definedName name="UA">#N/A</definedName>
    <definedName name="VALOR">#N/A</definedName>
    <definedName name="VALOR_1">#N/A</definedName>
    <definedName name="VALOR_2">#N/A</definedName>
    <definedName name="vasos.xlx">#REF!</definedName>
    <definedName name="VAZAO">#REF!</definedName>
    <definedName name="VAZAO___0">#REF!</definedName>
    <definedName name="VAZAO___2">#REF!</definedName>
    <definedName name="VERIFICA_SI">#N/A</definedName>
    <definedName name="x">#REF!</definedName>
    <definedName name="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8" i="21" l="1"/>
  <c r="I279" i="21"/>
  <c r="E7" i="24"/>
  <c r="E6" i="24"/>
  <c r="E12" i="24"/>
  <c r="E11" i="24"/>
  <c r="E5" i="24"/>
  <c r="E9" i="24"/>
  <c r="G31" i="24"/>
  <c r="E32" i="24" s="1"/>
  <c r="H17" i="21" s="1"/>
  <c r="G79" i="24"/>
  <c r="F466" i="21"/>
  <c r="F427" i="21"/>
  <c r="F461" i="21"/>
  <c r="F446" i="21"/>
  <c r="F445" i="21"/>
  <c r="F447" i="21" s="1"/>
  <c r="F448" i="21" s="1"/>
  <c r="F444" i="21"/>
  <c r="F443" i="21"/>
  <c r="F440" i="21"/>
  <c r="F439" i="21"/>
  <c r="F441" i="21" s="1"/>
  <c r="F442" i="21" s="1"/>
  <c r="F337" i="21"/>
  <c r="F211" i="21"/>
  <c r="F91" i="21"/>
  <c r="F108" i="21"/>
  <c r="F351" i="21"/>
  <c r="F352" i="21"/>
  <c r="F349" i="21"/>
  <c r="F347" i="21"/>
  <c r="F346" i="21"/>
  <c r="F344" i="21"/>
  <c r="I352" i="21" l="1"/>
  <c r="J352" i="21" s="1"/>
  <c r="I351" i="21"/>
  <c r="J351" i="21" s="1"/>
  <c r="I350" i="21"/>
  <c r="I349" i="21"/>
  <c r="J349" i="21" s="1"/>
  <c r="I347" i="21"/>
  <c r="J347" i="21" s="1"/>
  <c r="I346" i="21"/>
  <c r="J346" i="21" s="1"/>
  <c r="I345" i="21"/>
  <c r="I344" i="21"/>
  <c r="J344" i="21" s="1"/>
  <c r="F221" i="21"/>
  <c r="F220" i="21"/>
  <c r="F218" i="21"/>
  <c r="I221" i="21"/>
  <c r="I220" i="21"/>
  <c r="I219" i="21"/>
  <c r="I218" i="21"/>
  <c r="J218" i="21" s="1"/>
  <c r="F92" i="21"/>
  <c r="F101" i="21"/>
  <c r="F100" i="21"/>
  <c r="F98" i="21"/>
  <c r="F99" i="21" s="1"/>
  <c r="I98" i="21"/>
  <c r="I99" i="21"/>
  <c r="I100" i="21"/>
  <c r="I101" i="21"/>
  <c r="J101" i="21" s="1"/>
  <c r="J221" i="21" l="1"/>
  <c r="J220" i="21"/>
  <c r="F350" i="21"/>
  <c r="J350" i="21" s="1"/>
  <c r="F345" i="21"/>
  <c r="J345" i="21" s="1"/>
  <c r="F219" i="21"/>
  <c r="J219" i="21" s="1"/>
  <c r="J98" i="21"/>
  <c r="J99" i="21"/>
  <c r="J100" i="21"/>
  <c r="F465" i="21" l="1"/>
  <c r="F460" i="21"/>
  <c r="F456" i="21" s="1"/>
  <c r="E24" i="24"/>
  <c r="I297" i="21" l="1"/>
  <c r="I452" i="21"/>
  <c r="I453" i="21"/>
  <c r="I456" i="21"/>
  <c r="I457" i="21"/>
  <c r="I458" i="21"/>
  <c r="I460" i="21"/>
  <c r="I462" i="21"/>
  <c r="I463" i="21"/>
  <c r="I464" i="21"/>
  <c r="I465" i="21"/>
  <c r="I466" i="21"/>
  <c r="I471" i="21"/>
  <c r="I474" i="21"/>
  <c r="I476" i="21"/>
  <c r="I477" i="21"/>
  <c r="I478" i="21"/>
  <c r="I479" i="21"/>
  <c r="I438" i="21"/>
  <c r="I439" i="21"/>
  <c r="I440" i="21"/>
  <c r="I441" i="21"/>
  <c r="I442" i="21"/>
  <c r="I443" i="21"/>
  <c r="I444" i="21"/>
  <c r="I445" i="21"/>
  <c r="I446" i="21"/>
  <c r="I447" i="21"/>
  <c r="I448" i="21"/>
  <c r="I426" i="21"/>
  <c r="I427" i="21"/>
  <c r="I411" i="21"/>
  <c r="I412" i="21"/>
  <c r="I414" i="21"/>
  <c r="I415" i="21"/>
  <c r="I416" i="21"/>
  <c r="I417" i="21"/>
  <c r="I418" i="21"/>
  <c r="I403" i="21"/>
  <c r="I406" i="21"/>
  <c r="I408" i="21"/>
  <c r="I409" i="21"/>
  <c r="I410" i="21"/>
  <c r="I17" i="21"/>
  <c r="J17" i="21" s="1"/>
  <c r="I16" i="21"/>
  <c r="J16" i="21" s="1"/>
  <c r="F393" i="21" l="1"/>
  <c r="F392" i="21"/>
  <c r="F388" i="21" s="1"/>
  <c r="F389" i="21" s="1"/>
  <c r="F379" i="21"/>
  <c r="F375" i="21"/>
  <c r="F378" i="21" s="1"/>
  <c r="F361" i="21"/>
  <c r="F362" i="21" s="1"/>
  <c r="F339" i="21"/>
  <c r="F340" i="21" s="1"/>
  <c r="I313" i="21"/>
  <c r="J313" i="21" s="1"/>
  <c r="I312" i="21"/>
  <c r="J312" i="21" s="1"/>
  <c r="I195" i="21" l="1"/>
  <c r="F264" i="21"/>
  <c r="F262" i="21"/>
  <c r="F261" i="21"/>
  <c r="F248" i="21"/>
  <c r="F241" i="21"/>
  <c r="F240" i="21" s="1"/>
  <c r="F213" i="21"/>
  <c r="F239" i="21" l="1"/>
  <c r="F245" i="21" s="1"/>
  <c r="F246" i="21" s="1"/>
  <c r="J195" i="21"/>
  <c r="F58" i="21" l="1"/>
  <c r="G43" i="24" l="1"/>
  <c r="E42" i="24"/>
  <c r="G42" i="24" s="1"/>
  <c r="E41" i="24"/>
  <c r="G41" i="24" s="1"/>
  <c r="G40" i="24"/>
  <c r="G39" i="24"/>
  <c r="G38" i="24"/>
  <c r="E44" i="24" l="1"/>
  <c r="G69" i="24"/>
  <c r="G64" i="24"/>
  <c r="G89" i="24"/>
  <c r="F142" i="21" l="1"/>
  <c r="F141" i="21"/>
  <c r="F128" i="21"/>
  <c r="F121" i="21"/>
  <c r="F119" i="21" s="1"/>
  <c r="F104" i="21"/>
  <c r="F105" i="21" s="1"/>
  <c r="F106" i="21" s="1"/>
  <c r="F72" i="21"/>
  <c r="I72" i="21"/>
  <c r="J72" i="21" s="1"/>
  <c r="F78" i="21"/>
  <c r="F93" i="21"/>
  <c r="F70" i="21"/>
  <c r="F122" i="21" l="1"/>
  <c r="G16" i="24" l="1"/>
  <c r="G24" i="24"/>
  <c r="G6" i="24"/>
  <c r="G7" i="24"/>
  <c r="G9" i="24"/>
  <c r="G14" i="24"/>
  <c r="G15" i="24"/>
  <c r="G11" i="24"/>
  <c r="G12" i="24"/>
  <c r="G5" i="24"/>
  <c r="E17" i="24" l="1"/>
  <c r="H11" i="21"/>
  <c r="E25" i="24"/>
  <c r="H15" i="21" s="1"/>
  <c r="I15" i="21" s="1"/>
  <c r="J15" i="21" s="1"/>
  <c r="K17" i="23"/>
  <c r="I17" i="23"/>
  <c r="G17" i="23"/>
  <c r="E17" i="23"/>
  <c r="E16" i="23"/>
  <c r="K15" i="23"/>
  <c r="I15" i="23"/>
  <c r="G15" i="23"/>
  <c r="E15" i="23"/>
  <c r="B115" i="22"/>
  <c r="B113" i="22"/>
  <c r="B111" i="22"/>
  <c r="B109" i="22"/>
  <c r="B48" i="22"/>
  <c r="B85" i="22" s="1"/>
  <c r="B46" i="22"/>
  <c r="B83" i="22" s="1"/>
  <c r="B44" i="22"/>
  <c r="B81" i="22" s="1"/>
  <c r="B40" i="22"/>
  <c r="B77" i="22" s="1"/>
  <c r="B38" i="22"/>
  <c r="B75" i="22" s="1"/>
  <c r="J414" i="21" l="1"/>
  <c r="J476" i="21"/>
  <c r="J478" i="21"/>
  <c r="I490" i="21"/>
  <c r="J490" i="21" s="1"/>
  <c r="I489" i="21"/>
  <c r="J489" i="21" s="1"/>
  <c r="I488" i="21"/>
  <c r="J488" i="21" s="1"/>
  <c r="I487" i="21"/>
  <c r="J487" i="21" s="1"/>
  <c r="I486" i="21"/>
  <c r="J486" i="21" s="1"/>
  <c r="I485" i="21"/>
  <c r="J485" i="21" s="1"/>
  <c r="I484" i="21"/>
  <c r="J484" i="21" s="1"/>
  <c r="I483" i="21"/>
  <c r="J483" i="21" s="1"/>
  <c r="I482" i="21"/>
  <c r="J482" i="21" s="1"/>
  <c r="I481" i="21"/>
  <c r="J481" i="21" s="1"/>
  <c r="I480" i="21"/>
  <c r="J480" i="21" s="1"/>
  <c r="J479" i="21"/>
  <c r="J477" i="21"/>
  <c r="J474" i="21"/>
  <c r="H473" i="21"/>
  <c r="I473" i="21" s="1"/>
  <c r="F471" i="21"/>
  <c r="J471" i="21" s="1"/>
  <c r="J466" i="21"/>
  <c r="J462" i="21"/>
  <c r="J460" i="21"/>
  <c r="F458" i="21"/>
  <c r="F457" i="21"/>
  <c r="J453" i="21"/>
  <c r="J452" i="21"/>
  <c r="J444" i="21"/>
  <c r="J443" i="21"/>
  <c r="J438" i="21"/>
  <c r="H437" i="21"/>
  <c r="J434" i="21"/>
  <c r="H433" i="21"/>
  <c r="J433" i="21" s="1"/>
  <c r="J432" i="21"/>
  <c r="J431" i="21"/>
  <c r="J427" i="21"/>
  <c r="J426" i="21"/>
  <c r="J428" i="21" s="1"/>
  <c r="I437" i="21" l="1"/>
  <c r="J437" i="21" s="1"/>
  <c r="I472" i="21"/>
  <c r="J472" i="21" s="1"/>
  <c r="J492" i="21" s="1"/>
  <c r="C115" i="22" s="1"/>
  <c r="J439" i="21"/>
  <c r="J440" i="21"/>
  <c r="J441" i="21"/>
  <c r="J442" i="21"/>
  <c r="J445" i="21"/>
  <c r="J457" i="21"/>
  <c r="C109" i="22"/>
  <c r="J435" i="21"/>
  <c r="J446" i="21"/>
  <c r="J456" i="21"/>
  <c r="J458" i="21"/>
  <c r="J465" i="21"/>
  <c r="J448" i="21"/>
  <c r="J447" i="21"/>
  <c r="J491" i="21"/>
  <c r="J449" i="21" l="1"/>
  <c r="C111" i="22" s="1"/>
  <c r="I13" i="21"/>
  <c r="J13" i="21" s="1"/>
  <c r="I11" i="21" l="1"/>
  <c r="J11" i="21" s="1"/>
  <c r="I12" i="21"/>
  <c r="E70" i="24" l="1"/>
  <c r="H413" i="21" s="1"/>
  <c r="G50" i="24"/>
  <c r="G51" i="24"/>
  <c r="G52" i="24"/>
  <c r="G53" i="24"/>
  <c r="H162" i="21" l="1"/>
  <c r="H280" i="21"/>
  <c r="E80" i="24"/>
  <c r="E54" i="24"/>
  <c r="I388" i="21" l="1"/>
  <c r="I379" i="21"/>
  <c r="J415" i="21"/>
  <c r="J412" i="21"/>
  <c r="J411" i="21"/>
  <c r="J410" i="21"/>
  <c r="J409" i="21"/>
  <c r="J408" i="21"/>
  <c r="F406" i="21"/>
  <c r="H405" i="21"/>
  <c r="I405" i="21" s="1"/>
  <c r="F403" i="21"/>
  <c r="I398" i="21"/>
  <c r="J398" i="21" s="1"/>
  <c r="I395" i="21"/>
  <c r="J395" i="21" s="1"/>
  <c r="I394" i="21"/>
  <c r="F394" i="21"/>
  <c r="I392" i="21"/>
  <c r="J392" i="21" s="1"/>
  <c r="I390" i="21"/>
  <c r="I389" i="21"/>
  <c r="I385" i="21"/>
  <c r="J385" i="21" s="1"/>
  <c r="I384" i="21"/>
  <c r="J384" i="21" s="1"/>
  <c r="I378" i="21"/>
  <c r="I377" i="21"/>
  <c r="I376" i="21"/>
  <c r="I375" i="21"/>
  <c r="J375" i="21" s="1"/>
  <c r="I374" i="21"/>
  <c r="J374" i="21" s="1"/>
  <c r="I373" i="21"/>
  <c r="I372" i="21"/>
  <c r="F372" i="21"/>
  <c r="F373" i="21" s="1"/>
  <c r="I371" i="21"/>
  <c r="F371" i="21"/>
  <c r="I370" i="21"/>
  <c r="F370" i="21"/>
  <c r="I369" i="21"/>
  <c r="J369" i="21" s="1"/>
  <c r="I368" i="21"/>
  <c r="J368" i="21" s="1"/>
  <c r="I367" i="21"/>
  <c r="J367" i="21" s="1"/>
  <c r="I366" i="21"/>
  <c r="J366" i="21" s="1"/>
  <c r="I362" i="21"/>
  <c r="J362" i="21" s="1"/>
  <c r="I361" i="21"/>
  <c r="J361" i="21" s="1"/>
  <c r="I360" i="21"/>
  <c r="J360" i="21" s="1"/>
  <c r="I359" i="21"/>
  <c r="J359" i="21" s="1"/>
  <c r="I357" i="21"/>
  <c r="I356" i="21"/>
  <c r="I355" i="21"/>
  <c r="I354" i="21"/>
  <c r="I342" i="21"/>
  <c r="I340" i="21"/>
  <c r="J340" i="21" s="1"/>
  <c r="I339" i="21"/>
  <c r="J338" i="21"/>
  <c r="I337" i="21"/>
  <c r="J337" i="21" s="1"/>
  <c r="I332" i="21"/>
  <c r="J332" i="21" s="1"/>
  <c r="I331" i="21"/>
  <c r="J331" i="21" s="1"/>
  <c r="I329" i="21"/>
  <c r="J329" i="21" s="1"/>
  <c r="I328" i="21"/>
  <c r="J328" i="21" s="1"/>
  <c r="I325" i="21"/>
  <c r="J325" i="21" s="1"/>
  <c r="I324" i="21"/>
  <c r="J324" i="21" s="1"/>
  <c r="I322" i="21"/>
  <c r="F322" i="21"/>
  <c r="I321" i="21"/>
  <c r="J321" i="21" s="1"/>
  <c r="I319" i="21"/>
  <c r="J319" i="21" s="1"/>
  <c r="I318" i="21"/>
  <c r="J318" i="21" s="1"/>
  <c r="I316" i="21"/>
  <c r="J316" i="21" s="1"/>
  <c r="I315" i="21"/>
  <c r="J315" i="21" s="1"/>
  <c r="I311" i="21"/>
  <c r="J311" i="21" s="1"/>
  <c r="I309" i="21"/>
  <c r="I308" i="21"/>
  <c r="F309" i="21"/>
  <c r="J304" i="21"/>
  <c r="H303" i="21"/>
  <c r="J303" i="21" s="1"/>
  <c r="J302" i="21"/>
  <c r="J301" i="21"/>
  <c r="J297" i="21"/>
  <c r="I296" i="21"/>
  <c r="J296" i="21" s="1"/>
  <c r="I404" i="21" l="1"/>
  <c r="J404" i="21" s="1"/>
  <c r="F377" i="21"/>
  <c r="F376" i="21"/>
  <c r="J376" i="21" s="1"/>
  <c r="J309" i="21"/>
  <c r="J373" i="21"/>
  <c r="J406" i="21"/>
  <c r="J322" i="21"/>
  <c r="J308" i="21"/>
  <c r="J379" i="21"/>
  <c r="J388" i="21"/>
  <c r="J298" i="21"/>
  <c r="C75" i="22" s="1"/>
  <c r="J305" i="21"/>
  <c r="J339" i="21"/>
  <c r="J342" i="21"/>
  <c r="J354" i="21"/>
  <c r="F355" i="21"/>
  <c r="J371" i="21"/>
  <c r="J377" i="21"/>
  <c r="J378" i="21"/>
  <c r="J394" i="21"/>
  <c r="J403" i="21"/>
  <c r="J389" i="21"/>
  <c r="F390" i="21"/>
  <c r="J390" i="21" s="1"/>
  <c r="J370" i="21"/>
  <c r="J372" i="21"/>
  <c r="F356" i="21" l="1"/>
  <c r="F357" i="21" s="1"/>
  <c r="J357" i="21" s="1"/>
  <c r="J355" i="21"/>
  <c r="J380" i="21"/>
  <c r="C81" i="22" s="1"/>
  <c r="J356" i="21" l="1"/>
  <c r="J363" i="21" s="1"/>
  <c r="C77" i="22" s="1"/>
  <c r="I144" i="21"/>
  <c r="F120" i="21"/>
  <c r="F125" i="21" s="1"/>
  <c r="F126" i="21" s="1"/>
  <c r="F123" i="21" l="1"/>
  <c r="J144" i="21"/>
  <c r="I163" i="21"/>
  <c r="J163" i="21" s="1"/>
  <c r="I197" i="21"/>
  <c r="J197" i="21" s="1"/>
  <c r="I198" i="21"/>
  <c r="J198" i="21" s="1"/>
  <c r="I199" i="21"/>
  <c r="I200" i="21"/>
  <c r="J200" i="21" s="1"/>
  <c r="I202" i="21"/>
  <c r="J202" i="21" s="1"/>
  <c r="I203" i="21"/>
  <c r="J203" i="21" s="1"/>
  <c r="I204" i="21"/>
  <c r="I205" i="21"/>
  <c r="J205" i="21" s="1"/>
  <c r="I207" i="21"/>
  <c r="J207" i="21" s="1"/>
  <c r="I208" i="21"/>
  <c r="I211" i="21"/>
  <c r="I212" i="21"/>
  <c r="I213" i="21"/>
  <c r="I214" i="21"/>
  <c r="I216" i="21"/>
  <c r="I223" i="21"/>
  <c r="I224" i="21"/>
  <c r="I225" i="21"/>
  <c r="I226" i="21"/>
  <c r="I228" i="21"/>
  <c r="I229" i="21"/>
  <c r="I230" i="21"/>
  <c r="I231" i="21"/>
  <c r="I235" i="21"/>
  <c r="J235" i="21" s="1"/>
  <c r="I236" i="21"/>
  <c r="J236" i="21" s="1"/>
  <c r="I237" i="21"/>
  <c r="J237" i="21" s="1"/>
  <c r="I238" i="21"/>
  <c r="I239" i="21"/>
  <c r="I240" i="21"/>
  <c r="I241" i="21"/>
  <c r="I242" i="21"/>
  <c r="I243" i="21"/>
  <c r="I244" i="21"/>
  <c r="I245" i="21"/>
  <c r="I246" i="21"/>
  <c r="I247" i="21"/>
  <c r="I248" i="21"/>
  <c r="J248" i="21" s="1"/>
  <c r="I253" i="21"/>
  <c r="J253" i="21" s="1"/>
  <c r="I254" i="21"/>
  <c r="J254" i="21" s="1"/>
  <c r="I257" i="21"/>
  <c r="I258" i="21"/>
  <c r="I259" i="21"/>
  <c r="I261" i="21"/>
  <c r="I263" i="21"/>
  <c r="I264" i="21"/>
  <c r="I265" i="21"/>
  <c r="I266" i="21"/>
  <c r="I267" i="21"/>
  <c r="I272" i="21"/>
  <c r="I275" i="21"/>
  <c r="J275" i="21" s="1"/>
  <c r="I277" i="21"/>
  <c r="J277" i="21" s="1"/>
  <c r="I278" i="21"/>
  <c r="J278" i="21" s="1"/>
  <c r="I281" i="21"/>
  <c r="J281" i="21" s="1"/>
  <c r="I282" i="21"/>
  <c r="J282" i="21" s="1"/>
  <c r="I283" i="21"/>
  <c r="I284" i="21"/>
  <c r="J284" i="21" s="1"/>
  <c r="I285" i="21"/>
  <c r="J285" i="21" s="1"/>
  <c r="I191" i="21"/>
  <c r="I192" i="21"/>
  <c r="I194" i="21"/>
  <c r="I179" i="21"/>
  <c r="J179" i="21" s="1"/>
  <c r="I180" i="21"/>
  <c r="J283" i="21"/>
  <c r="J279" i="21"/>
  <c r="H274" i="21"/>
  <c r="I274" i="21" s="1"/>
  <c r="I273" i="21"/>
  <c r="F273" i="21"/>
  <c r="F272" i="21"/>
  <c r="F267" i="21"/>
  <c r="F263" i="21"/>
  <c r="J261" i="21"/>
  <c r="F257" i="21"/>
  <c r="F258" i="21" s="1"/>
  <c r="F243" i="21"/>
  <c r="F244" i="21" s="1"/>
  <c r="J238" i="21"/>
  <c r="F229" i="21"/>
  <c r="F230" i="21" s="1"/>
  <c r="F191" i="21"/>
  <c r="J187" i="21"/>
  <c r="J186" i="21"/>
  <c r="H186" i="21"/>
  <c r="J185" i="21"/>
  <c r="J184" i="21"/>
  <c r="F180" i="21"/>
  <c r="J258" i="21" l="1"/>
  <c r="I413" i="21"/>
  <c r="J413" i="21" s="1"/>
  <c r="J419" i="21" s="1"/>
  <c r="C85" i="22" s="1"/>
  <c r="F124" i="21"/>
  <c r="F127" i="21"/>
  <c r="J229" i="21"/>
  <c r="J180" i="21"/>
  <c r="J191" i="21"/>
  <c r="J223" i="21"/>
  <c r="J263" i="21"/>
  <c r="I162" i="21"/>
  <c r="J162" i="21" s="1"/>
  <c r="I280" i="21"/>
  <c r="J280" i="21" s="1"/>
  <c r="J272" i="21"/>
  <c r="J267" i="21"/>
  <c r="J194" i="21"/>
  <c r="J246" i="21"/>
  <c r="J264" i="21"/>
  <c r="F242" i="21"/>
  <c r="J242" i="21" s="1"/>
  <c r="F192" i="21"/>
  <c r="J192" i="21" s="1"/>
  <c r="J212" i="21"/>
  <c r="F231" i="21"/>
  <c r="J231" i="21" s="1"/>
  <c r="J245" i="21"/>
  <c r="J244" i="21"/>
  <c r="J273" i="21"/>
  <c r="J211" i="21"/>
  <c r="J243" i="21"/>
  <c r="J257" i="21"/>
  <c r="J181" i="21"/>
  <c r="C38" i="22" s="1"/>
  <c r="J188" i="21"/>
  <c r="J216" i="21"/>
  <c r="F224" i="21"/>
  <c r="F225" i="21" s="1"/>
  <c r="J239" i="21"/>
  <c r="J241" i="21"/>
  <c r="F247" i="21"/>
  <c r="J247" i="21" s="1"/>
  <c r="F259" i="21"/>
  <c r="J259" i="21" s="1"/>
  <c r="J240" i="21"/>
  <c r="J230" i="21" l="1"/>
  <c r="J289" i="21"/>
  <c r="C48" i="22" s="1"/>
  <c r="J228" i="21"/>
  <c r="J249" i="21"/>
  <c r="C44" i="22" s="1"/>
  <c r="J224" i="21"/>
  <c r="F214" i="21"/>
  <c r="J214" i="21" s="1"/>
  <c r="J213" i="21"/>
  <c r="J225" i="21" l="1"/>
  <c r="F226" i="21"/>
  <c r="J226" i="21" s="1"/>
  <c r="J232" i="21" l="1"/>
  <c r="I58" i="21"/>
  <c r="I69" i="21"/>
  <c r="I161" i="21"/>
  <c r="J161" i="21" s="1"/>
  <c r="I159" i="21"/>
  <c r="J159" i="21" s="1"/>
  <c r="I158" i="21"/>
  <c r="J158" i="21" s="1"/>
  <c r="I160" i="21"/>
  <c r="J160" i="21" s="1"/>
  <c r="F153" i="21"/>
  <c r="F143" i="21"/>
  <c r="F137" i="21"/>
  <c r="F134" i="21"/>
  <c r="F138" i="21" l="1"/>
  <c r="F139" i="21" s="1"/>
  <c r="C40" i="22"/>
  <c r="F109" i="21"/>
  <c r="F110" i="21" s="1"/>
  <c r="F111" i="21" s="1"/>
  <c r="F94" i="21"/>
  <c r="F147" i="21"/>
  <c r="E98" i="24" l="1"/>
  <c r="E97" i="24"/>
  <c r="E113" i="24"/>
  <c r="E112" i="24"/>
  <c r="E128" i="24"/>
  <c r="E127" i="24"/>
  <c r="E157" i="24"/>
  <c r="E158" i="24"/>
  <c r="E174" i="24"/>
  <c r="E173" i="24"/>
  <c r="E190" i="24"/>
  <c r="E189" i="24"/>
  <c r="G214" i="24" l="1"/>
  <c r="G213" i="24"/>
  <c r="G212" i="24"/>
  <c r="G211" i="24"/>
  <c r="G210" i="24"/>
  <c r="G209" i="24"/>
  <c r="G208" i="24"/>
  <c r="G207" i="24"/>
  <c r="G206" i="24"/>
  <c r="G205" i="24"/>
  <c r="G198" i="24"/>
  <c r="G197" i="24"/>
  <c r="G196" i="24"/>
  <c r="G195" i="24"/>
  <c r="G194" i="24"/>
  <c r="G193" i="24"/>
  <c r="G192" i="24"/>
  <c r="G191" i="24"/>
  <c r="G190" i="24"/>
  <c r="G189" i="24"/>
  <c r="G182" i="24"/>
  <c r="G181" i="24"/>
  <c r="G180" i="24"/>
  <c r="G179" i="24"/>
  <c r="G178" i="24"/>
  <c r="G177" i="24"/>
  <c r="G176" i="24"/>
  <c r="G175" i="24"/>
  <c r="G174" i="24"/>
  <c r="G173" i="24"/>
  <c r="G166" i="24"/>
  <c r="G165" i="24"/>
  <c r="G164" i="24"/>
  <c r="G163" i="24"/>
  <c r="G162" i="24"/>
  <c r="G161" i="24"/>
  <c r="G160" i="24"/>
  <c r="G159" i="24"/>
  <c r="G158" i="24"/>
  <c r="G157" i="24"/>
  <c r="G150" i="24"/>
  <c r="G149" i="24"/>
  <c r="G148" i="24"/>
  <c r="G147" i="24"/>
  <c r="G146" i="24"/>
  <c r="G145" i="24"/>
  <c r="G144" i="24"/>
  <c r="G143" i="24"/>
  <c r="G142" i="24"/>
  <c r="G135" i="24"/>
  <c r="G134" i="24"/>
  <c r="G133" i="24"/>
  <c r="G132" i="24"/>
  <c r="G131" i="24"/>
  <c r="G130" i="24"/>
  <c r="G129" i="24"/>
  <c r="G128" i="24"/>
  <c r="G127" i="24"/>
  <c r="G120" i="24"/>
  <c r="G119" i="24"/>
  <c r="G118" i="24"/>
  <c r="G117" i="24"/>
  <c r="G116" i="24"/>
  <c r="G115" i="24"/>
  <c r="G114" i="24"/>
  <c r="G113" i="24"/>
  <c r="G112" i="24"/>
  <c r="G105" i="24"/>
  <c r="G104" i="24"/>
  <c r="G103" i="24"/>
  <c r="G102" i="24"/>
  <c r="G101" i="24"/>
  <c r="G100" i="24"/>
  <c r="G99" i="24"/>
  <c r="G98" i="24"/>
  <c r="G97" i="24"/>
  <c r="G90" i="24"/>
  <c r="G88" i="24"/>
  <c r="G87" i="24"/>
  <c r="G86" i="24"/>
  <c r="H154" i="21"/>
  <c r="B9" i="22"/>
  <c r="I10" i="22"/>
  <c r="G10" i="22"/>
  <c r="E10" i="22"/>
  <c r="B8" i="23"/>
  <c r="K9" i="23"/>
  <c r="I9" i="23"/>
  <c r="G9" i="23"/>
  <c r="E9" i="23"/>
  <c r="B10" i="23"/>
  <c r="E13" i="23"/>
  <c r="E12" i="23"/>
  <c r="E11" i="23"/>
  <c r="K11" i="23"/>
  <c r="K13" i="23"/>
  <c r="I13" i="23"/>
  <c r="G13" i="23"/>
  <c r="I11" i="23"/>
  <c r="G11" i="23"/>
  <c r="L79" i="22"/>
  <c r="L22" i="22"/>
  <c r="L42" i="22"/>
  <c r="L59" i="22"/>
  <c r="I60" i="22"/>
  <c r="G60" i="22"/>
  <c r="E60" i="22"/>
  <c r="I59" i="22"/>
  <c r="G59" i="22"/>
  <c r="E59" i="22"/>
  <c r="B100" i="22"/>
  <c r="B98" i="22"/>
  <c r="B96" i="22"/>
  <c r="B94" i="22"/>
  <c r="B92" i="22"/>
  <c r="I80" i="22"/>
  <c r="G80" i="22"/>
  <c r="E80" i="22"/>
  <c r="I79" i="22"/>
  <c r="G79" i="22"/>
  <c r="E79" i="22"/>
  <c r="I101" i="22"/>
  <c r="G101" i="22"/>
  <c r="E101" i="22"/>
  <c r="I99" i="22"/>
  <c r="G99" i="22"/>
  <c r="E99" i="22"/>
  <c r="I97" i="22"/>
  <c r="G97" i="22"/>
  <c r="E97" i="22"/>
  <c r="I95" i="22"/>
  <c r="G95" i="22"/>
  <c r="E95" i="22"/>
  <c r="I93" i="22"/>
  <c r="G93" i="22"/>
  <c r="E93" i="22"/>
  <c r="I43" i="22"/>
  <c r="G43" i="22"/>
  <c r="E43" i="22"/>
  <c r="I42" i="22"/>
  <c r="G42" i="22"/>
  <c r="E42" i="22"/>
  <c r="B65" i="22"/>
  <c r="B63" i="22"/>
  <c r="B61" i="22"/>
  <c r="B57" i="22"/>
  <c r="B55" i="22"/>
  <c r="I66" i="22"/>
  <c r="G66" i="22"/>
  <c r="E66" i="22"/>
  <c r="I64" i="22"/>
  <c r="G64" i="22"/>
  <c r="E64" i="22"/>
  <c r="I62" i="22"/>
  <c r="G62" i="22"/>
  <c r="E62" i="22"/>
  <c r="I58" i="22"/>
  <c r="G58" i="22"/>
  <c r="E58" i="22"/>
  <c r="I56" i="22"/>
  <c r="G56" i="22"/>
  <c r="E56" i="22"/>
  <c r="E76" i="22"/>
  <c r="G76" i="22"/>
  <c r="I76" i="22"/>
  <c r="E78" i="22"/>
  <c r="G78" i="22"/>
  <c r="I78" i="22"/>
  <c r="E82" i="22"/>
  <c r="G82" i="22"/>
  <c r="I82" i="22"/>
  <c r="E84" i="22"/>
  <c r="G84" i="22"/>
  <c r="I84" i="22"/>
  <c r="E86" i="22"/>
  <c r="G86" i="22"/>
  <c r="I86" i="22"/>
  <c r="I23" i="22"/>
  <c r="G23" i="22"/>
  <c r="E23" i="22"/>
  <c r="I22" i="22"/>
  <c r="I116" i="22"/>
  <c r="G116" i="22"/>
  <c r="E116" i="22"/>
  <c r="I114" i="22"/>
  <c r="G114" i="22"/>
  <c r="E114" i="22"/>
  <c r="I112" i="22"/>
  <c r="G112" i="22"/>
  <c r="E112" i="22"/>
  <c r="I110" i="22"/>
  <c r="G110" i="22"/>
  <c r="E110" i="22"/>
  <c r="E91" i="24" l="1"/>
  <c r="E167" i="24"/>
  <c r="E183" i="24"/>
  <c r="E199" i="24"/>
  <c r="E215" i="24"/>
  <c r="E121" i="24"/>
  <c r="E136" i="24"/>
  <c r="E106" i="24"/>
  <c r="E151" i="24"/>
  <c r="K79" i="22"/>
  <c r="K59" i="22"/>
  <c r="K42" i="22"/>
  <c r="G22" i="22"/>
  <c r="E22" i="22"/>
  <c r="I49" i="22"/>
  <c r="G49" i="22"/>
  <c r="E49" i="22"/>
  <c r="I47" i="22"/>
  <c r="G47" i="22"/>
  <c r="E47" i="22"/>
  <c r="I45" i="22"/>
  <c r="G45" i="22"/>
  <c r="E45" i="22"/>
  <c r="I41" i="22"/>
  <c r="G41" i="22"/>
  <c r="E41" i="22"/>
  <c r="I39" i="22"/>
  <c r="G39" i="22"/>
  <c r="E39" i="22"/>
  <c r="B28" i="22"/>
  <c r="B26" i="22"/>
  <c r="B24" i="22"/>
  <c r="B20" i="22"/>
  <c r="B18" i="22"/>
  <c r="I29" i="22"/>
  <c r="G29" i="22"/>
  <c r="E29" i="22"/>
  <c r="I27" i="22"/>
  <c r="G27" i="22"/>
  <c r="E27" i="22"/>
  <c r="I25" i="22"/>
  <c r="G25" i="22"/>
  <c r="E25" i="22"/>
  <c r="I21" i="22"/>
  <c r="G21" i="22"/>
  <c r="E21" i="22"/>
  <c r="I19" i="22"/>
  <c r="G19" i="22"/>
  <c r="E19" i="22"/>
  <c r="H393" i="21" l="1"/>
  <c r="I393" i="21" s="1"/>
  <c r="J393" i="21" s="1"/>
  <c r="J399" i="21" s="1"/>
  <c r="H262" i="21"/>
  <c r="I262" i="21" s="1"/>
  <c r="J262" i="21" s="1"/>
  <c r="J268" i="21" s="1"/>
  <c r="H461" i="21"/>
  <c r="I461" i="21" s="1"/>
  <c r="J461" i="21" s="1"/>
  <c r="J467" i="21" s="1"/>
  <c r="H142" i="21"/>
  <c r="K22" i="22"/>
  <c r="C113" i="22" l="1"/>
  <c r="I493" i="21"/>
  <c r="C16" i="23" s="1"/>
  <c r="C83" i="22"/>
  <c r="I420" i="21"/>
  <c r="C14" i="23" s="1"/>
  <c r="C46" i="22"/>
  <c r="I290" i="21"/>
  <c r="C12" i="23" s="1"/>
  <c r="G12" i="23" s="1"/>
  <c r="E14" i="23" l="1"/>
  <c r="K14" i="23"/>
  <c r="G14" i="23"/>
  <c r="I14" i="23"/>
  <c r="G16" i="23"/>
  <c r="K16" i="23"/>
  <c r="I16" i="23"/>
  <c r="M16" i="23" l="1"/>
  <c r="N16" i="23" s="1"/>
  <c r="M14" i="23"/>
  <c r="N14" i="23" s="1"/>
  <c r="I141" i="21"/>
  <c r="J141" i="21" s="1"/>
  <c r="I134" i="21"/>
  <c r="J134" i="21" l="1"/>
  <c r="C92" i="22" l="1"/>
  <c r="G92" i="22" l="1"/>
  <c r="E92" i="22"/>
  <c r="I92" i="22"/>
  <c r="C96" i="22"/>
  <c r="C100" i="22"/>
  <c r="C98" i="22" l="1"/>
  <c r="I98" i="22" s="1"/>
  <c r="G100" i="22"/>
  <c r="E100" i="22"/>
  <c r="I100" i="22"/>
  <c r="G96" i="22"/>
  <c r="E96" i="22"/>
  <c r="I96" i="22"/>
  <c r="K92" i="22"/>
  <c r="L92" i="22" s="1"/>
  <c r="I120" i="21"/>
  <c r="G98" i="22" l="1"/>
  <c r="E98" i="22"/>
  <c r="K96" i="22"/>
  <c r="L96" i="22" s="1"/>
  <c r="K100" i="22"/>
  <c r="J120" i="21"/>
  <c r="C55" i="22"/>
  <c r="K98" i="22" l="1"/>
  <c r="L98" i="22" s="1"/>
  <c r="G55" i="22"/>
  <c r="E55" i="22"/>
  <c r="I55" i="22"/>
  <c r="L100" i="22"/>
  <c r="C65" i="22"/>
  <c r="I65" i="22" l="1"/>
  <c r="G65" i="22"/>
  <c r="E65" i="22"/>
  <c r="K55" i="22"/>
  <c r="L55" i="22" s="1"/>
  <c r="C94" i="22"/>
  <c r="C61" i="22"/>
  <c r="C63" i="22"/>
  <c r="I61" i="22" l="1"/>
  <c r="E61" i="22"/>
  <c r="G61" i="22"/>
  <c r="G63" i="22"/>
  <c r="E63" i="22"/>
  <c r="I63" i="22"/>
  <c r="I94" i="22"/>
  <c r="I103" i="22" s="1"/>
  <c r="G94" i="22"/>
  <c r="G103" i="22" s="1"/>
  <c r="E94" i="22"/>
  <c r="C102" i="22"/>
  <c r="K65" i="22"/>
  <c r="K61" i="22" l="1"/>
  <c r="L61" i="22" s="1"/>
  <c r="K63" i="22"/>
  <c r="L63" i="22" s="1"/>
  <c r="C57" i="22"/>
  <c r="D92" i="22"/>
  <c r="D98" i="22"/>
  <c r="D100" i="22"/>
  <c r="D96" i="22"/>
  <c r="K94" i="22"/>
  <c r="E103" i="22"/>
  <c r="L65" i="22"/>
  <c r="J103" i="22"/>
  <c r="D94" i="22"/>
  <c r="H103" i="22"/>
  <c r="I65" i="21"/>
  <c r="H64" i="21"/>
  <c r="I64" i="21" s="1"/>
  <c r="I63" i="21"/>
  <c r="I62" i="21"/>
  <c r="J58" i="21"/>
  <c r="J59" i="21" s="1"/>
  <c r="C18" i="22" s="1"/>
  <c r="I57" i="21"/>
  <c r="J57" i="21" s="1"/>
  <c r="L94" i="22" l="1"/>
  <c r="K102" i="22"/>
  <c r="L102" i="22" s="1"/>
  <c r="F103" i="22"/>
  <c r="F104" i="22" s="1"/>
  <c r="H104" i="22" s="1"/>
  <c r="J104" i="22" s="1"/>
  <c r="E104" i="22"/>
  <c r="G104" i="22" s="1"/>
  <c r="I104" i="22" s="1"/>
  <c r="I57" i="22"/>
  <c r="I68" i="22" s="1"/>
  <c r="G57" i="22"/>
  <c r="G68" i="22" s="1"/>
  <c r="E57" i="22"/>
  <c r="C67" i="22"/>
  <c r="D102" i="22"/>
  <c r="I66" i="21"/>
  <c r="J68" i="22" l="1"/>
  <c r="E75" i="22"/>
  <c r="I75" i="22"/>
  <c r="G75" i="22"/>
  <c r="K57" i="22"/>
  <c r="E68" i="22"/>
  <c r="G38" i="22"/>
  <c r="E38" i="22"/>
  <c r="I38" i="22"/>
  <c r="G18" i="22"/>
  <c r="E18" i="22"/>
  <c r="I18" i="22"/>
  <c r="D57" i="22"/>
  <c r="D55" i="22"/>
  <c r="D65" i="22"/>
  <c r="D61" i="22"/>
  <c r="D63" i="22"/>
  <c r="H68" i="22"/>
  <c r="I128" i="21"/>
  <c r="K38" i="22" l="1"/>
  <c r="L38" i="22" s="1"/>
  <c r="F68" i="22"/>
  <c r="F69" i="22" s="1"/>
  <c r="E69" i="22"/>
  <c r="G69" i="22" s="1"/>
  <c r="I69" i="22" s="1"/>
  <c r="L57" i="22"/>
  <c r="K67" i="22"/>
  <c r="L67" i="22" s="1"/>
  <c r="H69" i="22"/>
  <c r="J69" i="22" s="1"/>
  <c r="D67" i="22"/>
  <c r="K75" i="22"/>
  <c r="L75" i="22" s="1"/>
  <c r="K18" i="22"/>
  <c r="L18" i="22" s="1"/>
  <c r="J128" i="21"/>
  <c r="I113" i="22" l="1"/>
  <c r="G113" i="22"/>
  <c r="E113" i="22"/>
  <c r="I143" i="21"/>
  <c r="K113" i="22" l="1"/>
  <c r="L113" i="22" s="1"/>
  <c r="J143" i="21"/>
  <c r="G48" i="22" l="1"/>
  <c r="E40" i="22"/>
  <c r="G46" i="22"/>
  <c r="I46" i="22"/>
  <c r="E46" i="22"/>
  <c r="E81" i="22"/>
  <c r="I81" i="22"/>
  <c r="G81" i="22"/>
  <c r="E85" i="22"/>
  <c r="I85" i="22"/>
  <c r="G85" i="22"/>
  <c r="I44" i="22"/>
  <c r="G44" i="22"/>
  <c r="E44" i="22"/>
  <c r="I48" i="22" l="1"/>
  <c r="E48" i="22"/>
  <c r="E51" i="22" s="1"/>
  <c r="I40" i="22"/>
  <c r="G40" i="22"/>
  <c r="G51" i="22" s="1"/>
  <c r="C50" i="22"/>
  <c r="D44" i="22" s="1"/>
  <c r="K81" i="22"/>
  <c r="L81" i="22" s="1"/>
  <c r="K46" i="22"/>
  <c r="L46" i="22" s="1"/>
  <c r="E83" i="22"/>
  <c r="G83" i="22"/>
  <c r="I83" i="22"/>
  <c r="K85" i="22"/>
  <c r="K44" i="22"/>
  <c r="I127" i="21"/>
  <c r="I51" i="22" l="1"/>
  <c r="J51" i="22" s="1"/>
  <c r="K48" i="22"/>
  <c r="L48" i="22" s="1"/>
  <c r="D38" i="22"/>
  <c r="D46" i="22"/>
  <c r="D40" i="22"/>
  <c r="D48" i="22"/>
  <c r="H51" i="22"/>
  <c r="K40" i="22"/>
  <c r="L40" i="22" s="1"/>
  <c r="L85" i="22"/>
  <c r="K83" i="22"/>
  <c r="L83" i="22" s="1"/>
  <c r="L44" i="22"/>
  <c r="E52" i="22"/>
  <c r="G52" i="22" s="1"/>
  <c r="F51" i="22"/>
  <c r="F52" i="22" s="1"/>
  <c r="I52" i="22" l="1"/>
  <c r="D50" i="22"/>
  <c r="H52" i="22"/>
  <c r="J52" i="22" s="1"/>
  <c r="K50" i="22"/>
  <c r="L50" i="22" s="1"/>
  <c r="E77" i="22"/>
  <c r="E88" i="22" s="1"/>
  <c r="G77" i="22"/>
  <c r="G88" i="22" s="1"/>
  <c r="I77" i="22"/>
  <c r="C87" i="22"/>
  <c r="D77" i="22" s="1"/>
  <c r="D75" i="22" l="1"/>
  <c r="D81" i="22"/>
  <c r="D85" i="22"/>
  <c r="D83" i="22"/>
  <c r="K77" i="22"/>
  <c r="I88" i="22"/>
  <c r="J88" i="22" s="1"/>
  <c r="E89" i="22"/>
  <c r="G89" i="22" s="1"/>
  <c r="F88" i="22"/>
  <c r="F89" i="22" s="1"/>
  <c r="H88" i="22"/>
  <c r="I89" i="22" l="1"/>
  <c r="H89" i="22"/>
  <c r="J89" i="22" s="1"/>
  <c r="L77" i="22"/>
  <c r="K87" i="22"/>
  <c r="L87" i="22" s="1"/>
  <c r="D87" i="22"/>
  <c r="I115" i="22" l="1"/>
  <c r="E115" i="22"/>
  <c r="G115" i="22"/>
  <c r="K115" i="22" l="1"/>
  <c r="L115" i="22" s="1"/>
  <c r="E109" i="22"/>
  <c r="G109" i="22"/>
  <c r="I109" i="22"/>
  <c r="G111" i="22"/>
  <c r="I111" i="22"/>
  <c r="C117" i="22"/>
  <c r="E111" i="22"/>
  <c r="I157" i="21"/>
  <c r="I155" i="21"/>
  <c r="I153" i="21"/>
  <c r="I152" i="21"/>
  <c r="I147" i="21"/>
  <c r="I138" i="21"/>
  <c r="I139" i="21"/>
  <c r="I142" i="21"/>
  <c r="I137" i="21"/>
  <c r="I133" i="21"/>
  <c r="G118" i="22" l="1"/>
  <c r="H118" i="22" s="1"/>
  <c r="I118" i="22"/>
  <c r="J118" i="22" s="1"/>
  <c r="K109" i="22"/>
  <c r="L109" i="22" s="1"/>
  <c r="D111" i="22"/>
  <c r="D115" i="22"/>
  <c r="D109" i="22"/>
  <c r="D113" i="22"/>
  <c r="K111" i="22"/>
  <c r="E118" i="22"/>
  <c r="I116" i="21"/>
  <c r="I117" i="21"/>
  <c r="I118" i="21"/>
  <c r="I119" i="21"/>
  <c r="I121" i="21"/>
  <c r="I122" i="21"/>
  <c r="I123" i="21"/>
  <c r="I124" i="21"/>
  <c r="I125" i="21"/>
  <c r="I126" i="21"/>
  <c r="I115" i="21"/>
  <c r="I103" i="21"/>
  <c r="I104" i="21"/>
  <c r="I105" i="21"/>
  <c r="I106" i="21"/>
  <c r="I108" i="21"/>
  <c r="I109" i="21"/>
  <c r="I110" i="21"/>
  <c r="I111" i="21"/>
  <c r="I96" i="21"/>
  <c r="I91" i="21"/>
  <c r="I92" i="21"/>
  <c r="I93" i="21"/>
  <c r="I94" i="21"/>
  <c r="I83" i="21"/>
  <c r="I85" i="21"/>
  <c r="I86" i="21"/>
  <c r="I88" i="21"/>
  <c r="I80" i="21"/>
  <c r="I81" i="21"/>
  <c r="I78" i="21"/>
  <c r="I76" i="21"/>
  <c r="I75" i="21"/>
  <c r="I70" i="21"/>
  <c r="I73" i="21"/>
  <c r="I12" i="23" l="1"/>
  <c r="K12" i="23"/>
  <c r="E119" i="22"/>
  <c r="G119" i="22" s="1"/>
  <c r="I119" i="22" s="1"/>
  <c r="F118" i="22"/>
  <c r="F119" i="22" s="1"/>
  <c r="H119" i="22" s="1"/>
  <c r="J119" i="22" s="1"/>
  <c r="L111" i="22"/>
  <c r="K117" i="22"/>
  <c r="L117" i="22" s="1"/>
  <c r="D117" i="22"/>
  <c r="J12" i="21"/>
  <c r="J18" i="21" l="1"/>
  <c r="C8" i="23" s="1"/>
  <c r="M12" i="23"/>
  <c r="J153" i="21"/>
  <c r="J155" i="21"/>
  <c r="J157" i="21"/>
  <c r="J152" i="21"/>
  <c r="J147" i="21"/>
  <c r="J133" i="21"/>
  <c r="J137" i="21"/>
  <c r="J138" i="21"/>
  <c r="J139" i="21"/>
  <c r="J142" i="21"/>
  <c r="J116" i="21"/>
  <c r="J117" i="21"/>
  <c r="J118" i="21"/>
  <c r="J119" i="21"/>
  <c r="J121" i="21"/>
  <c r="J122" i="21"/>
  <c r="J123" i="21"/>
  <c r="J124" i="21"/>
  <c r="J125" i="21"/>
  <c r="J126" i="21"/>
  <c r="J127" i="21"/>
  <c r="J115" i="21"/>
  <c r="J92" i="21"/>
  <c r="J93" i="21"/>
  <c r="J94" i="21"/>
  <c r="J96" i="21"/>
  <c r="J103" i="21"/>
  <c r="J104" i="21"/>
  <c r="J105" i="21"/>
  <c r="J106" i="21"/>
  <c r="J108" i="21"/>
  <c r="J109" i="21"/>
  <c r="J110" i="21"/>
  <c r="J111" i="21"/>
  <c r="J91" i="21"/>
  <c r="J70" i="21"/>
  <c r="J73" i="21"/>
  <c r="J75" i="21"/>
  <c r="J76" i="21"/>
  <c r="J78" i="21"/>
  <c r="J80" i="21"/>
  <c r="J81" i="21"/>
  <c r="J83" i="21"/>
  <c r="J85" i="21"/>
  <c r="J86" i="21"/>
  <c r="J88" i="21"/>
  <c r="J69" i="21"/>
  <c r="J38" i="21"/>
  <c r="J37" i="21"/>
  <c r="J35" i="21"/>
  <c r="J34" i="21"/>
  <c r="J33" i="21"/>
  <c r="J31" i="21"/>
  <c r="J30" i="21"/>
  <c r="J28" i="21"/>
  <c r="J27" i="21"/>
  <c r="J25" i="21"/>
  <c r="I50" i="21"/>
  <c r="J50" i="21" s="1"/>
  <c r="I51" i="21"/>
  <c r="J51" i="21" s="1"/>
  <c r="I52" i="21"/>
  <c r="J52" i="21" s="1"/>
  <c r="I49" i="21"/>
  <c r="J49" i="21" s="1"/>
  <c r="I43" i="21"/>
  <c r="J43" i="21" s="1"/>
  <c r="I44" i="21"/>
  <c r="J44" i="21" s="1"/>
  <c r="I45" i="21"/>
  <c r="J45" i="21" s="1"/>
  <c r="I46" i="21"/>
  <c r="J46" i="21" s="1"/>
  <c r="I42" i="21"/>
  <c r="J42" i="21" s="1"/>
  <c r="N12" i="23" l="1"/>
  <c r="C9" i="22"/>
  <c r="J129" i="21"/>
  <c r="C24" i="22" s="1"/>
  <c r="J112" i="21"/>
  <c r="C20" i="22" s="1"/>
  <c r="J167" i="21"/>
  <c r="J148" i="21"/>
  <c r="C26" i="22" s="1"/>
  <c r="J39" i="21"/>
  <c r="J53" i="21"/>
  <c r="C28" i="22" l="1"/>
  <c r="G28" i="22" s="1"/>
  <c r="I168" i="21"/>
  <c r="I8" i="23"/>
  <c r="K8" i="23"/>
  <c r="G8" i="23"/>
  <c r="E8" i="23"/>
  <c r="I26" i="22"/>
  <c r="E26" i="22"/>
  <c r="G26" i="22"/>
  <c r="I20" i="22"/>
  <c r="G20" i="22"/>
  <c r="E20" i="22"/>
  <c r="C11" i="22"/>
  <c r="D9" i="22" s="1"/>
  <c r="D11" i="22" s="1"/>
  <c r="E9" i="22"/>
  <c r="G9" i="22"/>
  <c r="G12" i="22" s="1"/>
  <c r="I9" i="22"/>
  <c r="I12" i="22" s="1"/>
  <c r="G24" i="22"/>
  <c r="I24" i="22"/>
  <c r="E24" i="22"/>
  <c r="I28" i="22" l="1"/>
  <c r="I495" i="21"/>
  <c r="C10" i="23"/>
  <c r="C18" i="23" s="1"/>
  <c r="E28" i="22"/>
  <c r="E31" i="22" s="1"/>
  <c r="C30" i="22"/>
  <c r="D18" i="22" s="1"/>
  <c r="J12" i="22"/>
  <c r="H12" i="22"/>
  <c r="K20" i="22"/>
  <c r="L20" i="22" s="1"/>
  <c r="K26" i="22"/>
  <c r="L26" i="22" s="1"/>
  <c r="M8" i="23"/>
  <c r="N8" i="23" s="1"/>
  <c r="I31" i="22"/>
  <c r="G31" i="22"/>
  <c r="E12" i="22"/>
  <c r="K9" i="22"/>
  <c r="K24" i="22"/>
  <c r="K28" i="22" l="1"/>
  <c r="L28" i="22" s="1"/>
  <c r="D16" i="23"/>
  <c r="D14" i="23"/>
  <c r="G10" i="23"/>
  <c r="G19" i="23" s="1"/>
  <c r="E10" i="23"/>
  <c r="E19" i="23" s="1"/>
  <c r="E20" i="23" s="1"/>
  <c r="D20" i="22"/>
  <c r="D24" i="22"/>
  <c r="D10" i="23"/>
  <c r="D26" i="22"/>
  <c r="D28" i="22"/>
  <c r="I10" i="23"/>
  <c r="I19" i="23" s="1"/>
  <c r="H31" i="22"/>
  <c r="J31" i="22"/>
  <c r="K10" i="23"/>
  <c r="K19" i="23" s="1"/>
  <c r="L19" i="23" s="1"/>
  <c r="F12" i="22"/>
  <c r="F13" i="22" s="1"/>
  <c r="H13" i="22" s="1"/>
  <c r="J13" i="22" s="1"/>
  <c r="E13" i="22"/>
  <c r="G13" i="22" s="1"/>
  <c r="I13" i="22" s="1"/>
  <c r="L9" i="22"/>
  <c r="K11" i="22"/>
  <c r="L11" i="22" s="1"/>
  <c r="L24" i="22"/>
  <c r="F31" i="22"/>
  <c r="F32" i="22" s="1"/>
  <c r="E32" i="22"/>
  <c r="G32" i="22" s="1"/>
  <c r="I32" i="22" s="1"/>
  <c r="K30" i="22" l="1"/>
  <c r="L30" i="22" s="1"/>
  <c r="G20" i="23"/>
  <c r="H32" i="22"/>
  <c r="J32" i="22" s="1"/>
  <c r="D30" i="22"/>
  <c r="M10" i="23"/>
  <c r="D8" i="23"/>
  <c r="D12" i="23"/>
  <c r="H19" i="23"/>
  <c r="F19" i="23"/>
  <c r="F20" i="23" s="1"/>
  <c r="J19" i="23"/>
  <c r="I20" i="23"/>
  <c r="K20" i="23" s="1"/>
  <c r="D18" i="23" l="1"/>
  <c r="M18" i="23"/>
  <c r="N18" i="23" s="1"/>
  <c r="N10" i="23"/>
  <c r="H20" i="23"/>
  <c r="J20" i="23" s="1"/>
  <c r="L20" i="23" s="1"/>
</calcChain>
</file>

<file path=xl/sharedStrings.xml><?xml version="1.0" encoding="utf-8"?>
<sst xmlns="http://schemas.openxmlformats.org/spreadsheetml/2006/main" count="2354" uniqueCount="523">
  <si>
    <t>73766/001</t>
  </si>
  <si>
    <t>73856/003</t>
  </si>
  <si>
    <t>73903/001</t>
  </si>
  <si>
    <t>73994/001</t>
  </si>
  <si>
    <t>kg</t>
  </si>
  <si>
    <t>m3</t>
  </si>
  <si>
    <t>m2</t>
  </si>
  <si>
    <t>und</t>
  </si>
  <si>
    <t>t</t>
  </si>
  <si>
    <t>m</t>
  </si>
  <si>
    <t>2 S 01 010 00</t>
  </si>
  <si>
    <t>2 S 01 012 00</t>
  </si>
  <si>
    <t>2 S 01 102 01</t>
  </si>
  <si>
    <t>2 S 02 110 00</t>
  </si>
  <si>
    <t>2 S 04 020 00</t>
  </si>
  <si>
    <t>2 S 04 101 55</t>
  </si>
  <si>
    <t>2 S 09 002 05</t>
  </si>
  <si>
    <t>2 S 09 002 91</t>
  </si>
  <si>
    <t>3 S 02 902 00</t>
  </si>
  <si>
    <t>4 S 06 000 01</t>
  </si>
  <si>
    <t>4 S 06 000 02</t>
  </si>
  <si>
    <t>4 S 06 120 11</t>
  </si>
  <si>
    <t>5 S 02 908 00</t>
  </si>
  <si>
    <t>SICRO</t>
  </si>
  <si>
    <t>SINAPI</t>
  </si>
  <si>
    <t>SERVIÇOS PRELIMINARES</t>
  </si>
  <si>
    <t>1.1</t>
  </si>
  <si>
    <t>2.1</t>
  </si>
  <si>
    <t>2.1.1</t>
  </si>
  <si>
    <t>2.1.2</t>
  </si>
  <si>
    <t>2.2</t>
  </si>
  <si>
    <t>2.2.1</t>
  </si>
  <si>
    <t>2.2.2</t>
  </si>
  <si>
    <t>2.2.3</t>
  </si>
  <si>
    <t>2.2.4</t>
  </si>
  <si>
    <t>txkm</t>
  </si>
  <si>
    <t>3.1</t>
  </si>
  <si>
    <t>3.2</t>
  </si>
  <si>
    <t>Berço para tubulação</t>
  </si>
  <si>
    <t>Rede Longitudinal e Transversal</t>
  </si>
  <si>
    <t>Bueiros</t>
  </si>
  <si>
    <t>3.3</t>
  </si>
  <si>
    <t>3.4</t>
  </si>
  <si>
    <t xml:space="preserve">Reaterro de vala </t>
  </si>
  <si>
    <t>3.5</t>
  </si>
  <si>
    <t>Caixa Coletora</t>
  </si>
  <si>
    <t>Para Tubo DN 40 cm</t>
  </si>
  <si>
    <t>Para Tubo DN 60 cm</t>
  </si>
  <si>
    <t>Para Tubo DN 80 cm</t>
  </si>
  <si>
    <t>Para Tubo DN 80 cm - simples</t>
  </si>
  <si>
    <t>3.6</t>
  </si>
  <si>
    <t>Dispositivos de drenagem subterrânea - fornecimento de material e execução</t>
  </si>
  <si>
    <t>3.7</t>
  </si>
  <si>
    <t>4.1</t>
  </si>
  <si>
    <t>4.2</t>
  </si>
  <si>
    <t>4.3</t>
  </si>
  <si>
    <t>4.4</t>
  </si>
  <si>
    <t>4.5</t>
  </si>
  <si>
    <t>4.6.2</t>
  </si>
  <si>
    <t>4.8.1</t>
  </si>
  <si>
    <t>4.8.2</t>
  </si>
  <si>
    <t>Carga, transporte e descarga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</si>
  <si>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</si>
  <si>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</si>
  <si>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</si>
  <si>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</si>
  <si>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</si>
  <si>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</si>
  <si>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</si>
  <si>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</si>
  <si>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</si>
  <si>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</si>
  <si>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PAVIMENTAÇÃO</t>
  </si>
  <si>
    <t>Regularização do subleito</t>
  </si>
  <si>
    <t>6.3</t>
  </si>
  <si>
    <t>Regularização e compactação de reforço de subleito em solo estabilizado sem mistura com compactação a 100% proctor normal</t>
  </si>
  <si>
    <t>6.4</t>
  </si>
  <si>
    <t>7.3</t>
  </si>
  <si>
    <t>Camada de revestimento dos passeios</t>
  </si>
  <si>
    <t>7.3.1</t>
  </si>
  <si>
    <t>Lastro de brita - fornecimento, espalhamento e compactação</t>
  </si>
  <si>
    <t>7.3.2</t>
  </si>
  <si>
    <t>Sinalização Vertical</t>
  </si>
  <si>
    <t>Fornecimento e implantação suporte metálico p/ fixação de placa, inclusive base de concreto</t>
  </si>
  <si>
    <t>Semi-pórtico metálico (6,0 m de vão) p/ fixação de placa c/ base de concreto, inclusive forn. mat. e implantação</t>
  </si>
  <si>
    <t>Sinalização Horizontal</t>
  </si>
  <si>
    <t>Fornecimento e colocação de tachão refletivo bidirecional</t>
  </si>
  <si>
    <t>74157/004</t>
  </si>
  <si>
    <t>PREFEITURA MUNICIPAL DE TIMBÓ</t>
  </si>
  <si>
    <t>PAVIMENTAÇÃO E QUALIFICAÇÃO DE VIAS URBANAS - 2ª ETAPA (PAC 02)</t>
  </si>
  <si>
    <t>PROJETO DE IMPLANTAÇÃO DO ANEL VIÁRIO – RUA ARAPONGUINHAS</t>
  </si>
  <si>
    <t>ITEM</t>
  </si>
  <si>
    <t>REFER.</t>
  </si>
  <si>
    <t>CÓDIGO</t>
  </si>
  <si>
    <t>DESCRIÇÃO DOS SERVIÇOS</t>
  </si>
  <si>
    <t>UNID.</t>
  </si>
  <si>
    <t>QUANT.</t>
  </si>
  <si>
    <t>ADMINISTRAÇÃO LOCAL/PLACA DE OBRA</t>
  </si>
  <si>
    <t>Remoção e Demolições</t>
  </si>
  <si>
    <t>Remoção de Tubulações</t>
  </si>
  <si>
    <t>Comp. Unit.</t>
  </si>
  <si>
    <t>2.1.1.1</t>
  </si>
  <si>
    <t>Remoção de Tubo DN até 40 cm</t>
  </si>
  <si>
    <t>2.1.1.2</t>
  </si>
  <si>
    <t>Remoção de Tubo DN 80 cm</t>
  </si>
  <si>
    <t>2.1.1.3</t>
  </si>
  <si>
    <t>Remoção de Tubo DN 100 cm</t>
  </si>
  <si>
    <t>Arrancamento e remoção de bloco de concreto (Paver) com empilhamento lateral</t>
  </si>
  <si>
    <t>2.1.3</t>
  </si>
  <si>
    <t>2.1.4</t>
  </si>
  <si>
    <t>Remoção mecanizada da camada granular do pavimento</t>
  </si>
  <si>
    <t>2.1.5</t>
  </si>
  <si>
    <t xml:space="preserve">Carga, transporte e descarga </t>
  </si>
  <si>
    <t>2.1.5.1</t>
  </si>
  <si>
    <t>2.1.5.2</t>
  </si>
  <si>
    <t>Preparo do terreno</t>
  </si>
  <si>
    <t>Limpeza Superficial da Camada Vegetal</t>
  </si>
  <si>
    <t>Desmatamento mecânico de árvores diâmetro entre 15 a 30 cm</t>
  </si>
  <si>
    <t>Desmatamento mecânico de árvores com diâmetro maior que 30 cm</t>
  </si>
  <si>
    <t>2.2.4.1</t>
  </si>
  <si>
    <t>2.2.4.2</t>
  </si>
  <si>
    <t>TERRAPLENAGEM</t>
  </si>
  <si>
    <t>Escavação mecânica de solo saturado, profundidade até 6,00 m 1ª categoria</t>
  </si>
  <si>
    <t>Escavação mecânica de mat. 1ª categoria</t>
  </si>
  <si>
    <t>Escavação e carga de material 3ª cat./rocha</t>
  </si>
  <si>
    <t>Escavação e carga de mat. 3ª categoria</t>
  </si>
  <si>
    <t>Enrocamento - pedra jogada</t>
  </si>
  <si>
    <t>Enrocamento - pedra arrumada</t>
  </si>
  <si>
    <t>3.8</t>
  </si>
  <si>
    <t>3.9</t>
  </si>
  <si>
    <t>Passeios</t>
  </si>
  <si>
    <t>3.10</t>
  </si>
  <si>
    <t>Compactação de aterros a 95% proctor normal (preenchimento das remoções)</t>
  </si>
  <si>
    <t>3.11</t>
  </si>
  <si>
    <t>Compactação de aterros a 100% proctor normal (aterro/conformação de greide)</t>
  </si>
  <si>
    <t>OBRAS DE ARTE CORRENTE E DRENAGEM</t>
  </si>
  <si>
    <t>Escavação mecanizada de valas em material 1a cat., inclusive carga</t>
  </si>
  <si>
    <t>Fornec. e assentamento de tubo de concreto, inclusive rejunte com argamassa 1:3 cimento e areia</t>
  </si>
  <si>
    <t>Tubo de concreto simples - classe PS2  DN 40 cm</t>
  </si>
  <si>
    <t>Tubo de concreto armado - classe PA1  DN 60 cm</t>
  </si>
  <si>
    <t>Tubo de concreto armado - classe PA1  DN 80 cm</t>
  </si>
  <si>
    <t>Tubo de concreto armado - classe PA2  DN 150 cm</t>
  </si>
  <si>
    <t>Para Tubo DN 150 cm</t>
  </si>
  <si>
    <t>Caixa de Ligação - Rede Transversal e longitudinal / Bueiros Tubulares</t>
  </si>
  <si>
    <t>Para Tubo DN 150 cm - simples</t>
  </si>
  <si>
    <t>Transporte de material com caminhão basculante</t>
  </si>
  <si>
    <t>Aterro utilizando retroescavadeira e compac. vibrat.</t>
  </si>
  <si>
    <t>Sub-base com macadame hidráulico/pedra pulmão/rachão, inclusive compactação</t>
  </si>
  <si>
    <t>Base para pavimentação com brita graduada, inclusive compactação</t>
  </si>
  <si>
    <t>Imprimação de base de pavimentação com asfalto diluído CM-30</t>
  </si>
  <si>
    <t>Pintura de ligação com emulsão asfáltica RR-2C</t>
  </si>
  <si>
    <t>Camada de revestimento asfáltico - CBUQ, Faixa ''C'', CAP 50/70 c/ cal hidrat.</t>
  </si>
  <si>
    <t xml:space="preserve">Carga, manobra e descarga de mistura betuminosa a quente com caminhão basculante 6m3 </t>
  </si>
  <si>
    <t>Transporte comercial material betuminoso a quente</t>
  </si>
  <si>
    <t>OBRAS COMPLEMENTARES E PASSEIOS COM ACESSIBILIDADE</t>
  </si>
  <si>
    <t>Fornec. e assent. de piso podo tátil (alerta/direcional) de concreto fck ≥ 35 MPa, cor vermelha, e=6 cm, inclusive pó de pedra/areia, e= 3 cm</t>
  </si>
  <si>
    <t>Enleivamento com grama em rolo, inclusive preparo do solo</t>
  </si>
  <si>
    <t>Guarda-corpo em tubo aço galvanizado 1 1/2" - fornecimento material e execução</t>
  </si>
  <si>
    <t>Barreira de segurança de concreto simples (New Jersey)</t>
  </si>
  <si>
    <t>Limpeza final de obra</t>
  </si>
  <si>
    <t>SINALIZAÇÃO E ELEMENTOS DE SEGURANÇA</t>
  </si>
  <si>
    <t>Pintura horizontal com tinta refletiva a base acrílica e micro esferas de vidro (faixas de tráfego)</t>
  </si>
  <si>
    <t xml:space="preserve">Pintura horizontal c/termoplástico-3 anos tinta (faixas de pedestre, setas e zebrados) </t>
  </si>
  <si>
    <t>Fornecimento e colocação de tachão refletivo monodirecional</t>
  </si>
  <si>
    <t>Fornecimento e implantação de placa de sinalização (tot. refletiva)</t>
  </si>
  <si>
    <t>Elementos de Segurança</t>
  </si>
  <si>
    <t>Defensa maleável simples, inclusive (fornecimento e instalação)</t>
  </si>
  <si>
    <t>Ancoragem de defensa maleável simples (fornecimento e instalação)</t>
  </si>
  <si>
    <t>PLANILHA DE ORÇAMENTO</t>
  </si>
  <si>
    <t>CUSTO UNIT. (R$)</t>
  </si>
  <si>
    <t>VALOR UNIT.  (R$)</t>
  </si>
  <si>
    <t>VALOR TOTAL (R$)</t>
  </si>
  <si>
    <t>TOTAL DO ITEM</t>
  </si>
  <si>
    <t>TOTAL GLOBAL DOS SERVIÇOS (BDI)</t>
  </si>
  <si>
    <t>Demolição de pavimentação asfáltica</t>
  </si>
  <si>
    <t>Carga, manobra e descarga de materiais</t>
  </si>
  <si>
    <t>Montagem e desmontagem de formas, com tábua madeira 2a qualidade, e = 2,5 cm, com reaprov.</t>
  </si>
  <si>
    <t>Meio fio de concreto pré-moldado (15 cm base x 30 cm altura), rejuntado com argamassa 1:3 cimento e areia, incluindo escavação e reaterro</t>
  </si>
  <si>
    <t>Fornecimento de material de jazida (2a cat.) para aterro com CBR ≥ 20%, sem transporte</t>
  </si>
  <si>
    <t>Fornec. de material de jazida (2a cat.) p/ aterro com CBR ≥ 20%, sem transporte</t>
  </si>
  <si>
    <t>LOTE 05 - PROJETO DE ACESSOS A PONTE SOBRE O RIO BENEDITO INTERSEÇÃO 02</t>
  </si>
  <si>
    <t>TOTAL GERAL GLOBAL</t>
  </si>
  <si>
    <t>LOTE 05 - PROJETO DE ACESSOS A PONTE SOBRE O RIO BENEDITO "ROTATORIA RUA BLUMENAU"</t>
  </si>
  <si>
    <t>SERVIÇOS INICIAIS</t>
  </si>
  <si>
    <t>Placa de Obra, conforme padrão da Caixa (tamanho mínimo 2,00mx1,50m)</t>
  </si>
  <si>
    <t>Locação da obra com uso de equipamentos topográficos, inclusive topógrafo e nivelador</t>
  </si>
  <si>
    <t>ESCAVAÇÕES e REMOÇÕES</t>
  </si>
  <si>
    <t xml:space="preserve">Remoção de solos inservíveis e retirada de material para nivelamento do greide </t>
  </si>
  <si>
    <t>Transporte dos solos inservíveis e material retirado</t>
  </si>
  <si>
    <t>Aterro com macadame compactado, até ao greide definido para a pavimentação, incluindo carga, espalhamento e compactação (considerado apiloamento no valor) ROTATÓRIA</t>
  </si>
  <si>
    <t>Transporte de material para aterro</t>
  </si>
  <si>
    <t>2.3</t>
  </si>
  <si>
    <t>2.4</t>
  </si>
  <si>
    <t>Reforço do Sub-Leito com solo estabilizado sem mistura, compactação 100%, e = 30 cm</t>
  </si>
  <si>
    <t>Transporte de material para reforço do Sub-Leito</t>
  </si>
  <si>
    <t>SINALIZAÇÃO</t>
  </si>
  <si>
    <r>
      <t xml:space="preserve">CABO DE COBRE UNIPOLAR ISOLADO PARA 1000V EM </t>
    </r>
    <r>
      <rPr>
        <b/>
        <sz val="8"/>
        <rFont val="Arial"/>
        <family val="2"/>
      </rPr>
      <t xml:space="preserve">EPR-90°C, </t>
    </r>
    <r>
      <rPr>
        <sz val="8"/>
        <rFont val="Arial"/>
        <family val="2"/>
      </rPr>
      <t>10,00mm²</t>
    </r>
  </si>
  <si>
    <t>CHAVE MAGNETICA</t>
  </si>
  <si>
    <t>ELETRODUTO DE FeGa BARRA DE 6,0M NBR 5598</t>
  </si>
  <si>
    <t>CAIXA DE PASSAGEM COM TAMPA EM FeGa PADRÃO CELESC</t>
  </si>
  <si>
    <t>HASTE DE TERRA DIAMETRO 5/8" X 240CM DE AÇO REVESTIDA DE COBRE, CAMADA MÍNIMA 250Um (MICRA), COM CONECTOR DE APERTO.</t>
  </si>
  <si>
    <t xml:space="preserve">CAIXA DE INSPEÇÃO  </t>
  </si>
  <si>
    <t>ESCAVAÇÃO DE VALA 0,50x1,20 PARA PASSAGEM DE TUBULAÇÃO DE FeGa</t>
  </si>
  <si>
    <t>ESCAVAÇÃO PARA BASE DE POSTES</t>
  </si>
  <si>
    <t>CONCRETO ARMADO PARA BASE DOS POSTES</t>
  </si>
  <si>
    <t>74209/001</t>
  </si>
  <si>
    <t>72911 + INS. 6077</t>
  </si>
  <si>
    <t>74154/001</t>
  </si>
  <si>
    <t>74151/001</t>
  </si>
  <si>
    <t>74104/001</t>
  </si>
  <si>
    <t>74166/001</t>
  </si>
  <si>
    <t>Transporte local de material betuminoso</t>
  </si>
  <si>
    <t>Lastro de Brita</t>
  </si>
  <si>
    <t>Lastro de brita</t>
  </si>
  <si>
    <t>LOTE 05 - PROJETO DE ACESSOS A PONTE SOBRE O RIO BENEDITO</t>
  </si>
  <si>
    <t>PLANILHA DE ORÇAMENTO - INTERSEÇÃO 01</t>
  </si>
  <si>
    <t>PLANILHA DE ORÇAMENTO - INTERSEÇÃO 04</t>
  </si>
  <si>
    <t xml:space="preserve">PLANILHA DE ORÇAMENTO </t>
  </si>
  <si>
    <t>2.5</t>
  </si>
  <si>
    <t>2.6</t>
  </si>
  <si>
    <t>2.7</t>
  </si>
  <si>
    <t>2.8</t>
  </si>
  <si>
    <t>3.1.2</t>
  </si>
  <si>
    <t>3.2.1</t>
  </si>
  <si>
    <t>3.2.1.1</t>
  </si>
  <si>
    <t>3.2.1.2</t>
  </si>
  <si>
    <t>3.2.1.3</t>
  </si>
  <si>
    <t>3.2.2</t>
  </si>
  <si>
    <t>3.2.4</t>
  </si>
  <si>
    <t>3.2.5</t>
  </si>
  <si>
    <t>4.1.1</t>
  </si>
  <si>
    <t>4.1.2</t>
  </si>
  <si>
    <t>4.2.1</t>
  </si>
  <si>
    <t>4.2.2</t>
  </si>
  <si>
    <t>3.2.2.2</t>
  </si>
  <si>
    <t>Revestimento</t>
  </si>
  <si>
    <t>Execução de murreta para canteiro</t>
  </si>
  <si>
    <t>2.9</t>
  </si>
  <si>
    <t>Remoção mecanizada de revestimento betuminoso</t>
  </si>
  <si>
    <t>m³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</si>
  <si>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</si>
  <si>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</si>
  <si>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</si>
  <si>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</si>
  <si>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</si>
  <si>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</si>
  <si>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</si>
  <si>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</si>
  <si>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2.6.1</t>
  </si>
  <si>
    <t>2.6.2</t>
  </si>
  <si>
    <t>2.6.3</t>
  </si>
  <si>
    <t>2.6.4</t>
  </si>
  <si>
    <t>2.7.1</t>
  </si>
  <si>
    <t>2.8.1</t>
  </si>
  <si>
    <t>2.8.2</t>
  </si>
  <si>
    <t>2.9.1</t>
  </si>
  <si>
    <t>2.9.2</t>
  </si>
  <si>
    <t>2.9.3</t>
  </si>
  <si>
    <t>2.9.4</t>
  </si>
  <si>
    <t>2.10</t>
  </si>
  <si>
    <t>4.2.1.1</t>
  </si>
  <si>
    <t>4.2.1.2</t>
  </si>
  <si>
    <t>4.2.1.3</t>
  </si>
  <si>
    <t>4.2.2.1</t>
  </si>
  <si>
    <t>4.2.2.2</t>
  </si>
  <si>
    <t>5.1.1</t>
  </si>
  <si>
    <t>5.1.2</t>
  </si>
  <si>
    <t>5.1.3</t>
  </si>
  <si>
    <t>5.2.1</t>
  </si>
  <si>
    <t>5.2.2</t>
  </si>
  <si>
    <t>5.2.3</t>
  </si>
  <si>
    <t>Sub-base de macadame hidráulico com brita comercial</t>
  </si>
  <si>
    <t>Meio fio de concreto pré-moldado (4 cm largura), rejuntado com argamassa 1:3 cimento e areia, incluindo escavação e reaterro</t>
  </si>
  <si>
    <t>Execução de passeio em concreto, e=8 cm , armado</t>
  </si>
  <si>
    <t>PROJETO DE ROTATÓRIAS E DE ACESSOS A PONTE SOBRE O RIO BENEDITO</t>
  </si>
  <si>
    <t>CRONOGRAMA FÍSICO-FINANCEIRO</t>
  </si>
  <si>
    <t xml:space="preserve">PROJETO : </t>
  </si>
  <si>
    <t>ETAPAS</t>
  </si>
  <si>
    <t>VALOR</t>
  </si>
  <si>
    <t>%</t>
  </si>
  <si>
    <t>30 DIAS</t>
  </si>
  <si>
    <t>60 DIAS</t>
  </si>
  <si>
    <t>90 DIAS</t>
  </si>
  <si>
    <t>TOTAL</t>
  </si>
  <si>
    <t>R$ Total</t>
  </si>
  <si>
    <t>R$</t>
  </si>
  <si>
    <t>VALOR TOTAL</t>
  </si>
  <si>
    <t>VALOR ACUM. PARCIAL</t>
  </si>
  <si>
    <t>VALOR ACUM. GLOBAL</t>
  </si>
  <si>
    <t xml:space="preserve">LOCAL: 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</si>
  <si>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</si>
  <si>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</si>
  <si>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</si>
  <si>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</si>
  <si>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</si>
  <si>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</si>
  <si>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</si>
  <si>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</si>
  <si>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</si>
  <si>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INTERSEÇÃO 01</t>
  </si>
  <si>
    <t>TERRAPLANAGEM ACIMA DA DRENAGEM</t>
  </si>
  <si>
    <t>(Executado pela Secretaria de Obras)</t>
  </si>
  <si>
    <t>ACESSO MARGEM DIREITA</t>
  </si>
  <si>
    <t>ACESSO MARGEM ESQUERDA</t>
  </si>
  <si>
    <t>INTERSEÇÃO 04</t>
  </si>
  <si>
    <t>CRONOGRAMA GERAL</t>
  </si>
  <si>
    <t>1º TRIMESTRE</t>
  </si>
  <si>
    <t>2º TRIMESTRE</t>
  </si>
  <si>
    <t>3º TRIMESTRE</t>
  </si>
  <si>
    <t>4º TRIMESTRE</t>
  </si>
  <si>
    <t>0.1</t>
  </si>
  <si>
    <t>0.2</t>
  </si>
  <si>
    <t>0.3</t>
  </si>
  <si>
    <t>INTERSEÇÃO 01, 02, 03, 04 E ACESSOS A PONTE</t>
  </si>
  <si>
    <t>ANEL VIÁRIO - RUA ARAPONGUINHAS</t>
  </si>
  <si>
    <t>PAVIMENTAÇÃO ASFÁLTICA TOTATÓRIAS E ACESSOS</t>
  </si>
  <si>
    <t>CRONOGRAMA FÍSICO-FINANCEIRO GERAL</t>
  </si>
  <si>
    <t>PLANILHA DE ORÇAMENTO - INTERSEÇÃO 02 E ACESSO MARGEM DIREITA</t>
  </si>
  <si>
    <t>PLANILHA DE ORÇAMENTO - INTERSEÇÃO 03 E ACESSO MARGEM ESQUERDA</t>
  </si>
  <si>
    <t>COMPOSIÇÃO DE PREÇO UNITÁRIA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</si>
  <si>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      m</t>
    </r>
  </si>
  <si>
    <t>TIPO</t>
  </si>
  <si>
    <t>DESCRIÇÃO</t>
  </si>
  <si>
    <t>UNID</t>
  </si>
  <si>
    <t>CUSTO</t>
  </si>
  <si>
    <t>CUSTO UNIT.</t>
  </si>
  <si>
    <t>Composição</t>
  </si>
  <si>
    <t>Pedreiro com encargos complementares</t>
  </si>
  <si>
    <t>h</t>
  </si>
  <si>
    <t>Servente com encargos complementares</t>
  </si>
  <si>
    <t>Concreto não estrutural, consumo 210 kg/m3, preparo com betoneira</t>
  </si>
  <si>
    <t>Concreto fck ≥ 25 MPa, preparo com betoneira</t>
  </si>
  <si>
    <t>Lançamento e aplicação de concreto</t>
  </si>
  <si>
    <t>PREÇO UNITÁRIO ADOTADO (SEM BDI)</t>
  </si>
  <si>
    <t>REFERÊNCIA</t>
  </si>
  <si>
    <t>Insumo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</si>
  <si>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    m2</t>
    </r>
  </si>
  <si>
    <t>Calceteiro com encargos complementares</t>
  </si>
  <si>
    <t>Operador de Maquinas e Equipamentos (Compactador de solo placa vibratória)</t>
  </si>
  <si>
    <t>Caixa de Ligação - Rede Transversal e longitudinal / Bueiros Tubulares                                                                                                  Para Tubo DN 150 cm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</si>
  <si>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   und</t>
    </r>
  </si>
  <si>
    <t>Concreto não estrutural, consumo 210 kg/m3, preparo com betoneira - fundo</t>
  </si>
  <si>
    <t>Concreto fck ≥ 15 MPa, preparo com betoneira - tampa</t>
  </si>
  <si>
    <t>Armação em tela soldada - fornecimento corte, dobra e colocação</t>
  </si>
  <si>
    <t>Argamassa traço 1:3 (cimento e areia) - parede e assentamento</t>
  </si>
  <si>
    <t>Caixa de Ligação - Rede Transversal e longitudinal / Bueiros Tubulares                                                                                                  Para Tubo DN 80 cm</t>
  </si>
  <si>
    <t>Caixa de Ligação - Rede Transversal e longitudinal / Bueiros Tubulares                                                                                                  Para Tubo DN 60 cm</t>
  </si>
  <si>
    <t>Caixa de Ligação - Rede Transversal e longitudinal / Bueiros Tubulares                                                                                                  Para Tubo DN 40 cm</t>
  </si>
  <si>
    <t>Caixa Coletor                                                                                                                                                                                                                              Para Tubo DN 150 cm</t>
  </si>
  <si>
    <t>Grelha Fofo simples com requadro, carga maxim a12,5 T, *300 X 1000* MM</t>
  </si>
  <si>
    <t>Caixa Coletor                                                                                                                                                                                                                              Para Tubo DN 80 cm</t>
  </si>
  <si>
    <t>Caixa Coletor                                                                                                                                                                                                                              Para Tubo DN 60 cm</t>
  </si>
  <si>
    <t>Caixa Coletor                                                                                                                                                                                                                              Para Tubo DN 40 cm</t>
  </si>
  <si>
    <t>Grelha FoFo 87x29 cm cap. 10.000 kg</t>
  </si>
  <si>
    <t>OBS: Nos valores cotados em empresas particulares  referentes a 2014 foi acrescido o percentual acumulado de INCC (Índice Nacional de Construção Civil) até o mês atual</t>
  </si>
  <si>
    <t>SINAPI - 11/2017 S/ Desoneração e Sicro 03/17 S/ Desoneração</t>
  </si>
  <si>
    <t>INTERSEÇÃO 02 E ACESSO MARGEM DIREITA</t>
  </si>
  <si>
    <t>INTERSEÇÃO 03 E ACESSO MARGEM  ESQUERDA</t>
  </si>
  <si>
    <t>Tijolo Cerâmico maciço 5x10x20cm</t>
  </si>
  <si>
    <t>Argamassa traço 1:2:8 (cimento, cal e areia média) - parede e assentamento</t>
  </si>
  <si>
    <t>OBS:</t>
  </si>
  <si>
    <t>Fornecimento e implantação de suporte metálico galvanizado para placa de advertência - lado de 0,60 m</t>
  </si>
  <si>
    <t>Fornecimento e implantação de suporte metálico galvanizado para placa de regulamentação - D = 0,60 m</t>
  </si>
  <si>
    <t xml:space="preserve">Fornecimento e implantação de placa de advertência em aço, lado de 0,60 m - película retrorrefletiva tipo I e SI </t>
  </si>
  <si>
    <t xml:space="preserve"> Fornecimento e implantação de placa de regulamentação em aço D = 0,60 m - película retrorrefletiva tipo I e SI</t>
  </si>
  <si>
    <t xml:space="preserve">Fornecimento e implantação de placa em aço, modulada, solo - 3,00 x 1,50 m - película retrorrefletiva tipo III + III </t>
  </si>
  <si>
    <t>5.2.4</t>
  </si>
  <si>
    <t>5.2.5</t>
  </si>
  <si>
    <t>5.2.6</t>
  </si>
  <si>
    <t>5.2.7</t>
  </si>
  <si>
    <t>um</t>
  </si>
  <si>
    <t>Fornecimento e implantação de placa de advertência em aço, lado de 0,60 m - película retrorrefletiva tipo I e SI (Área= 0,60 x 0,60 = 0,36m²)</t>
  </si>
  <si>
    <t>Código de Referência</t>
  </si>
  <si>
    <t>Área de placa AM-02 = 0,50 x 1,50 = 0,75 m²</t>
  </si>
  <si>
    <t>0,75m² = R$ x</t>
  </si>
  <si>
    <t>Fornecimento e implantação de placa em aço 0,50x1,50 AM-02</t>
  </si>
  <si>
    <t>Boca BSTC D = 0,80 m - esconsidade 5° - areia e brita comerciais</t>
  </si>
  <si>
    <t>m²</t>
  </si>
  <si>
    <t>0804163</t>
  </si>
  <si>
    <t>Boca BSTC D = 1,50 m - esconsidade 5° - areia e brita comerciais</t>
  </si>
  <si>
    <t>2.7.1.1</t>
  </si>
  <si>
    <t>2.7.1.2</t>
  </si>
  <si>
    <t>2.7.1.3</t>
  </si>
  <si>
    <t>2.7.1.4</t>
  </si>
  <si>
    <t>2.7.2</t>
  </si>
  <si>
    <t>2.7.2.1</t>
  </si>
  <si>
    <t>2.8.3</t>
  </si>
  <si>
    <t>2.8.4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</si>
  <si>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   unid.</t>
    </r>
  </si>
  <si>
    <t>Fornecimento e implantação de placa de advertência em aço, lado de 0,60 m - película retrorrefletiva tipo I e S</t>
  </si>
  <si>
    <r>
      <t xml:space="preserve">Fornecimento e implantação de placa em aço 0,50x1,50 AM-02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Para Tubo duplo DN 150 cm</t>
    </r>
  </si>
  <si>
    <t>SINAPI - 01/2018  S/ Desoneração e Sicro 03/17 S/ Desoneração</t>
  </si>
  <si>
    <r>
      <t xml:space="preserve">Meio fio de concreto pré-moldado (4 cm largura), rejuntado com argamassa 1:3 cimento e areia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</t>
    </r>
  </si>
  <si>
    <t>0.4</t>
  </si>
  <si>
    <t>73847/001</t>
  </si>
  <si>
    <t>mês</t>
  </si>
  <si>
    <t>As quantidades de referência para esta composição foram retiradas do detalhe contrutivo da prancha CAL 05</t>
  </si>
  <si>
    <t>Camada de revestimento asfáltico - CBUQ, Faixa ''C'', CAP 50/70 c/ cal hidrat. e=5,0cm</t>
  </si>
  <si>
    <t>Camada de revestimento asfáltico - CBUQ, Faixa ''C'', CAP 50/70 c/ cal hidrat. e=7,5cm</t>
  </si>
  <si>
    <t>3.1.1</t>
  </si>
  <si>
    <t>3.2.2.1</t>
  </si>
  <si>
    <t>73916/002</t>
  </si>
  <si>
    <t>Placa esmaltada para identificação nr de rua</t>
  </si>
  <si>
    <t xml:space="preserve">PAVIMENTAÇÃO ASFÁLTICA TOTATÓRIAS E ACESSOS </t>
  </si>
  <si>
    <t>DATA: FEV. / 2018</t>
  </si>
  <si>
    <t>5.2.8</t>
  </si>
  <si>
    <t>INTERSEÇÃO 03 E ACESSO MARGEM ESQUERDA</t>
  </si>
  <si>
    <t>DATA: FEVEREIRO/2018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</si>
  <si>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und</t>
    </r>
  </si>
  <si>
    <t>Sinapi</t>
  </si>
  <si>
    <t>PREÇO UNITÁRIO ADOTADO (SEM BDI)/MÊS</t>
  </si>
  <si>
    <t>CUSTO R$/h</t>
  </si>
  <si>
    <t>hr</t>
  </si>
  <si>
    <t xml:space="preserve">Administração Local </t>
  </si>
  <si>
    <t xml:space="preserve">Engenheiro Civil de Obra júnior com encargos complementares </t>
  </si>
  <si>
    <t>Encarregado geral com encargos complementares</t>
  </si>
  <si>
    <t>Apontador ou Apropriador com encargos complementares</t>
  </si>
  <si>
    <t>Veículo Leve - 53 kW ( sem motorista)</t>
  </si>
  <si>
    <t>Topógrafo com encargos complementares</t>
  </si>
  <si>
    <t>Auxiliar de topógrafo com encargos complementares</t>
  </si>
  <si>
    <t>Técnico de laboratório com encargos complementares</t>
  </si>
  <si>
    <t>Auxiliar de laboratório com encargos complementares</t>
  </si>
  <si>
    <t>Equipe de condução de obras</t>
  </si>
  <si>
    <t>Locomoção de pessoal administrativo</t>
  </si>
  <si>
    <t>Serviço de topografia com acompanhamento de obra</t>
  </si>
  <si>
    <t>Serviços de apoio estratégico e losgístico da obra</t>
  </si>
  <si>
    <t>Placa de obra em chapa de aço galvanizado</t>
  </si>
  <si>
    <t>Sanepar</t>
  </si>
  <si>
    <t>Escoramento de valas</t>
  </si>
  <si>
    <t>2.3.1</t>
  </si>
  <si>
    <t>2.3.2</t>
  </si>
  <si>
    <t>Pontalete metálico</t>
  </si>
  <si>
    <t>0804274</t>
  </si>
  <si>
    <t xml:space="preserve">Boca BDTC D = 1,50 m - esconsidade 5° </t>
  </si>
  <si>
    <t xml:space="preserve">Dreno profundo H = 1,5 m - com geocomposto drenante - inclusive escavação e reaterro </t>
  </si>
  <si>
    <t>00004723</t>
  </si>
  <si>
    <t>Pedra Britada n° 4 (50 a 76mm)</t>
  </si>
  <si>
    <t xml:space="preserve">Fornecimento e implantação de suporte metálico galvanizado para placa de advertência - lado de 0,60 m </t>
  </si>
  <si>
    <t>R$272,91-R$230,6342= R$42,28</t>
  </si>
  <si>
    <t>3,10m = R$230,6342</t>
  </si>
  <si>
    <t>2,20m = R$ x</t>
  </si>
  <si>
    <t>(230,6342*2,20)/3,10 = R$ 163,67</t>
  </si>
  <si>
    <t>Fornecimento e implantação de placa em aço e de suporte para canalização AM-02</t>
  </si>
  <si>
    <t>OBSERVAÇÕES</t>
  </si>
  <si>
    <t>A composição acima elabora tem como base os códigos 5213464 para chapa de aço, sendo que foi elaborada por proporção de áreas da placa. Para a elaboração da composição so suporte de placa foi utilizada a mesma composição do código 5213863 sendo utilizados todos os itens da mesmo, exeto que foi alterada a quantidade de suporte para adequação das nescessidades da placa (0,50base+0,20altura+1,50placa).</t>
  </si>
  <si>
    <t>Lajota de concreto podotátil (piso tátil)</t>
  </si>
  <si>
    <t>SINAPI - 01/2018  S/ Desoneração e Sicro 09/17 S/ Desoneração</t>
  </si>
  <si>
    <t>Administração Local</t>
  </si>
  <si>
    <t>Mobilização de Equipamento</t>
  </si>
  <si>
    <t>Desmobilização de Equipamento</t>
  </si>
  <si>
    <t>Instalação de canteiro de Obras</t>
  </si>
  <si>
    <t xml:space="preserve">0,36m² = R$ 260,95 </t>
  </si>
  <si>
    <t>(0,75*260,95)/0,36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</si>
  <si>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   m</t>
    </r>
  </si>
  <si>
    <t xml:space="preserve">Concreto fck ≥ 25 MPa, preparo com betoneira  </t>
  </si>
  <si>
    <t>Fabricação, montagem e desmontagem de fôrma para viga baldrame, em chapa de madeira compensada resinada, e=17 mm, 2 utilizações</t>
  </si>
  <si>
    <t>Armação de pilar ou viga</t>
  </si>
  <si>
    <t>Aplicação manual de pintura com tinta látex acrílica</t>
  </si>
  <si>
    <t>Laboratório de Betume</t>
  </si>
  <si>
    <t>*</t>
  </si>
  <si>
    <t>* Preço retirado da Tabela de preços de consultoria do DNIT - Instrução de Serviço DG nº 03, de 07 de março de 2012, com ultima atualização em 09/02/2018, tendo como referência o preço do mês de Janeiro de 2018</t>
  </si>
  <si>
    <t>Pó de pedra</t>
  </si>
  <si>
    <t>Tipo caixa - Com chapa metálica – largura &lt;1,50m</t>
  </si>
  <si>
    <t>Escoramento metálico Tipo Caixa</t>
  </si>
  <si>
    <t>Com chapa metálica - largura &lt;= 1,50 m</t>
  </si>
  <si>
    <t>Com chapa metálica - 1,50 m &lt; largura &lt;= 2,00 m</t>
  </si>
  <si>
    <t>Escoramento Tipo Caixa</t>
  </si>
  <si>
    <t>Com chapa metálica - 2,00 m &lt; largura &lt;= 2,50 m</t>
  </si>
  <si>
    <t>050401</t>
  </si>
  <si>
    <t>050402</t>
  </si>
  <si>
    <t>050403</t>
  </si>
  <si>
    <t>2004507</t>
  </si>
  <si>
    <t>Placa de obra</t>
  </si>
  <si>
    <t>Banheiro químico</t>
  </si>
  <si>
    <t>0.4.1</t>
  </si>
  <si>
    <t>0.4.2</t>
  </si>
  <si>
    <t>0.4.3</t>
  </si>
  <si>
    <t xml:space="preserve">SINAPI - 01/2018  S/ Desoneração </t>
  </si>
  <si>
    <t>73806/001</t>
  </si>
  <si>
    <t>Concreto fck ≥ 15 MPa, inclusive preparo</t>
  </si>
  <si>
    <t>Lançamento e aplicação manual de concreto</t>
  </si>
  <si>
    <t>Armação em tela soldada - fornecimento, corte, dobra e colocação</t>
  </si>
  <si>
    <t>Formas de tábuas de pinho para dispositivos de drenagem</t>
  </si>
  <si>
    <t>Boca de Bueiro</t>
  </si>
  <si>
    <t>Berço de Bueiro Tubular Duplo DN 150 cm</t>
  </si>
  <si>
    <t>2.7.3</t>
  </si>
  <si>
    <t>2.7.3.1</t>
  </si>
  <si>
    <t>2.7.3.2</t>
  </si>
  <si>
    <t>2.7.3.3</t>
  </si>
  <si>
    <t>2.7.3.4</t>
  </si>
  <si>
    <t>Berço de Bueiro Tubular Simples DN 80 cm</t>
  </si>
  <si>
    <t>Berço de Bueiro Tubular Simples DN 150 cm</t>
  </si>
  <si>
    <t>2.7.4</t>
  </si>
  <si>
    <t>2.7.4.1</t>
  </si>
  <si>
    <t>2.7.4.2</t>
  </si>
  <si>
    <t>2.7.4.3</t>
  </si>
  <si>
    <t>2.7.4.4</t>
  </si>
  <si>
    <t>00004465</t>
  </si>
  <si>
    <t>Prancha de madeira não aparelhada 6 x 25 cm</t>
  </si>
  <si>
    <t>0004465</t>
  </si>
  <si>
    <r>
      <t xml:space="preserve">Orçamentos:                                                                                                                                                    Indapav (Fone: (47) 3333-8892) - 1 Unidade podotátil 20x20x6 = R$ 1,72                                                      Comis (Fone: (47) 3382-7907 - 1 Unidade 20x20x6 = R$ 1,60                                                                                Anklam (Fone: (47)3382-1548) - CNPJ 18.229.358.0001-56 = R$ 1,38                                                                  Média de valores: (1,72+1,60+1,38)/3 = R$ 1,57/und                                                                                              0,20m x 0,20m = 0,04m²                     (1m² x R$1,57)0,04 = </t>
    </r>
    <r>
      <rPr>
        <b/>
        <sz val="10"/>
        <rFont val="Arial"/>
        <family val="2"/>
      </rPr>
      <t>R$ 39,25/m²</t>
    </r>
  </si>
  <si>
    <t>Cotação</t>
  </si>
  <si>
    <t>As quantidades dos códigos 88309 e 88316 foram retiradas do código 74206/002 acrescido em 375% proporcionalmente ao diâmetro da tubulação                                                                                                                                                               As quantidades desta composição estão em conformidade aos detalhes contrutivos em projeto.</t>
  </si>
  <si>
    <t>As quantidades dos códigos 88309 e 88316 foram retiradas do código 74206/002 acrescido em 100% proporcionalmente ao diâmetro da tubulação                                                                                                                                                           As quantidades desta composição estão em conformidade aos detalhes contrutivos em projeto.</t>
  </si>
  <si>
    <t>As quantidades dos códigos 88309 e 88316 foram retiradas do código 74206/002 acrescido em 50% proporcionalmente ao diâmetro da tubulação                                                                                                                                                                As quantidades desta composição estão em conformidade aos detalhes contrutivos em projeto.</t>
  </si>
  <si>
    <t>As quantidades dos códigos 88309 e 88316 foram retiradas do código 74206/002                                                                     As quantidades desta composição estão em conformidade aos detalhes contrutivos em projeto.</t>
  </si>
  <si>
    <t xml:space="preserve">As quantidades dos códigos 88309 e 88316 foram retiradas do código 74206/002 acrescido em 375% proporcionalmente ao diâmetro da tubulação                                                                                                                                                            As quantidades desta composição estão em conformidade aos detalhes contrutivos em projeto.  </t>
  </si>
  <si>
    <t xml:space="preserve">As quantidades dos códigos 88309 e 88316 foram retiradas do código 74206/002 acrescido em 100% proporcionalmente ao diâmetro da tubulação                                                                                                                                                            As quantidades desta composição estão em conformidade aos detalhes contrutivos em projeto.        </t>
  </si>
  <si>
    <t xml:space="preserve">As quantidades dos códigos 88309 e 88316 foram retiradas do código 74206/002 acrescido em 50% proporcionalmente ao diâmetro da tubulação                                                                                                                                                                As quantidades desta composição estão em conformidade aos detalhes contrutivos em projeto.   </t>
  </si>
  <si>
    <t xml:space="preserve">As quantidades dos códigos 88309 e 88316 foram retiradas do código 74206/002                                                                     As quantidades desta composição estão em conformidade aos detalhes contrutivos em projeto.     </t>
  </si>
  <si>
    <t xml:space="preserve">                     SINAPI - 01/2018  S/ Desoneração e Sicro 09/17 S/ Desoneração</t>
  </si>
  <si>
    <t>0,15mx030mx1,00m = 0,045m³ = R$ 33,10</t>
  </si>
  <si>
    <t>0,04mx0,30mx1,00m = 0,012m³ = R$ x</t>
  </si>
  <si>
    <t>(0,012 x 33,10) / 0,045 = R$ 8,83 / m</t>
  </si>
  <si>
    <t>Banheiro Químico</t>
  </si>
  <si>
    <r>
      <t xml:space="preserve">Orçamentos:                                                                                                                                                              Ecoban (Fone: (49) 3523-1065 ; CNPJ 09.158.348/0001-86) = R$ 1100,00 / mês                                                 Multiban (Orçamento em anexo) = R$ 850,00 /mês                                                                                               (R$ 1100,00+R$ 850,00)/2 = </t>
    </r>
    <r>
      <rPr>
        <b/>
        <sz val="10"/>
        <rFont val="Arial"/>
        <family val="2"/>
      </rPr>
      <t>R$ 975 / mês</t>
    </r>
  </si>
  <si>
    <t>CUSTO R$/mês</t>
  </si>
  <si>
    <t>qnt/mês</t>
  </si>
  <si>
    <t xml:space="preserve">Aluguel container/escrit incl inst elet larg=2,20 comp=6,20m, alt=2,50m chapa aco 
</t>
  </si>
  <si>
    <t>OBS: ORÇAMENTO ELABORADO NA DATA DE 09/03/2018</t>
  </si>
  <si>
    <t>OBS: SINAPI SC 01/18 NÃO DESONERADA E SICRO SEM DESONERAÇÃO SC 09/17</t>
  </si>
  <si>
    <t>E9093</t>
  </si>
  <si>
    <t>2.3.3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</si>
</sst>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Sim&quot;;&quot;Sim&quot;;&quot;Não&quot;"/>
    <numFmt numFmtId="167" formatCode="_(&quot;R$ &quot;* #,##0.00_);_(&quot;R$ &quot;* \(#,##0.00\);_(&quot;R$ &quot;* &quot;-&quot;??_);_(@_)"/>
    <numFmt numFmtId="168" formatCode="_(* #,##0.000000_);_(* \(#,##0.000000\);_(* &quot;-&quot;??_);_(@_)"/>
    <numFmt numFmtId="169" formatCode="&quot;R$&quot;\ #,##0.00"/>
    <numFmt numFmtId="170" formatCode="_(* #,##0.000000000_);_(* \(#,##0.0000000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wis721 Ex BT"/>
      <family val="2"/>
    </font>
    <font>
      <sz val="8"/>
      <name val="Swis721 Ex BT"/>
      <family val="2"/>
    </font>
    <font>
      <sz val="10"/>
      <name val="Arial"/>
      <family val="2"/>
    </font>
    <font>
      <b/>
      <sz val="18"/>
      <name val="Swis721 Ex BT"/>
      <family val="2"/>
    </font>
    <font>
      <sz val="14"/>
      <name val="Swis721 Ex BT"/>
      <family val="2"/>
    </font>
    <font>
      <b/>
      <sz val="14"/>
      <name val="Swis721 Ex BT"/>
      <family val="2"/>
    </font>
    <font>
      <sz val="11"/>
      <name val="Swis721 Ex BT"/>
      <family val="2"/>
    </font>
    <font>
      <b/>
      <sz val="11"/>
      <name val="Swis721 Ex BT"/>
      <family val="2"/>
    </font>
    <font>
      <b/>
      <sz val="9"/>
      <color indexed="8"/>
      <name val="Swis721 Ex BT"/>
      <family val="2"/>
    </font>
    <font>
      <sz val="9"/>
      <name val="Swis721 Ex BT"/>
      <family val="2"/>
    </font>
    <font>
      <b/>
      <sz val="9"/>
      <name val="Swis721 Ex BT"/>
      <family val="2"/>
    </font>
    <font>
      <b/>
      <sz val="7"/>
      <name val="Swis721 Ex BT"/>
      <family val="2"/>
    </font>
    <font>
      <sz val="7"/>
      <name val="Swis721 Ex BT"/>
      <family val="2"/>
    </font>
    <font>
      <sz val="10"/>
      <color rgb="FFFF0000"/>
      <name val="Swis721 Ex BT"/>
      <family val="2"/>
    </font>
    <font>
      <b/>
      <sz val="10"/>
      <name val="Swis721 Ex BT"/>
      <family val="2"/>
    </font>
    <font>
      <sz val="12"/>
      <name val="Swis721 Ex BT"/>
      <family val="2"/>
    </font>
    <font>
      <b/>
      <sz val="9"/>
      <color rgb="FFFF0000"/>
      <name val="Swis721 Ex BT"/>
      <family val="2"/>
    </font>
    <font>
      <b/>
      <i/>
      <sz val="9"/>
      <color rgb="FF002060"/>
      <name val="Swis721 Ex BT"/>
      <family val="2"/>
    </font>
    <font>
      <b/>
      <i/>
      <sz val="9"/>
      <name val="Swis721 Ex BT"/>
      <family val="2"/>
    </font>
    <font>
      <sz val="10"/>
      <name val="Arial"/>
      <family val="2"/>
    </font>
    <font>
      <b/>
      <sz val="9"/>
      <color theme="0"/>
      <name val="Swis721 Ex BT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Swis721 Ex BT"/>
      <family val="2"/>
    </font>
    <font>
      <sz val="10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Swis721 Ex BT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</cellStyleXfs>
  <cellXfs count="493">
    <xf numFmtId="0" fontId="0" fillId="0" borderId="0" xfId="0"/>
    <xf numFmtId="0" fontId="11" fillId="0" borderId="0" xfId="15" applyFont="1" applyFill="1"/>
    <xf numFmtId="0" fontId="13" fillId="0" borderId="0" xfId="15" applyFont="1" applyFill="1"/>
    <xf numFmtId="0" fontId="16" fillId="0" borderId="0" xfId="15" applyFont="1" applyFill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0" borderId="1" xfId="16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16" applyFont="1" applyBorder="1" applyAlignment="1">
      <alignment horizontal="center" vertical="center"/>
    </xf>
    <xf numFmtId="164" fontId="17" fillId="0" borderId="0" xfId="0" applyNumberFormat="1" applyFont="1" applyFill="1" applyAlignment="1">
      <alignment horizontal="right"/>
    </xf>
    <xf numFmtId="164" fontId="16" fillId="0" borderId="0" xfId="16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Fill="1"/>
    <xf numFmtId="164" fontId="11" fillId="0" borderId="0" xfId="16" applyFont="1" applyFill="1" applyBorder="1"/>
    <xf numFmtId="164" fontId="13" fillId="0" borderId="0" xfId="16" applyFont="1" applyFill="1" applyBorder="1"/>
    <xf numFmtId="164" fontId="16" fillId="0" borderId="0" xfId="16" applyFont="1" applyFill="1" applyBorder="1"/>
    <xf numFmtId="0" fontId="17" fillId="0" borderId="1" xfId="0" applyFont="1" applyFill="1" applyBorder="1" applyAlignment="1">
      <alignment horizontal="center" vertical="center"/>
    </xf>
    <xf numFmtId="43" fontId="17" fillId="0" borderId="0" xfId="0" applyNumberFormat="1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right" wrapText="1"/>
    </xf>
    <xf numFmtId="164" fontId="16" fillId="2" borderId="1" xfId="16" applyFont="1" applyFill="1" applyBorder="1" applyAlignment="1">
      <alignment vertical="center"/>
    </xf>
    <xf numFmtId="164" fontId="17" fillId="2" borderId="1" xfId="16" applyFont="1" applyFill="1" applyBorder="1" applyAlignment="1">
      <alignment vertical="center"/>
    </xf>
    <xf numFmtId="0" fontId="17" fillId="2" borderId="0" xfId="0" applyFont="1" applyFill="1" applyAlignment="1">
      <alignment horizontal="right"/>
    </xf>
    <xf numFmtId="43" fontId="23" fillId="0" borderId="0" xfId="0" applyNumberFormat="1" applyFont="1" applyFill="1" applyAlignment="1">
      <alignment horizontal="right"/>
    </xf>
    <xf numFmtId="164" fontId="7" fillId="0" borderId="0" xfId="16" applyFont="1" applyFill="1" applyBorder="1"/>
    <xf numFmtId="0" fontId="2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4" fontId="16" fillId="3" borderId="1" xfId="16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" xfId="16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64" fontId="16" fillId="4" borderId="1" xfId="39" applyFont="1" applyFill="1" applyBorder="1" applyAlignment="1">
      <alignment horizontal="center" vertical="center"/>
    </xf>
    <xf numFmtId="164" fontId="16" fillId="0" borderId="1" xfId="39" applyFont="1" applyBorder="1" applyAlignment="1">
      <alignment horizontal="center" vertical="center"/>
    </xf>
    <xf numFmtId="164" fontId="17" fillId="0" borderId="1" xfId="39" applyFont="1" applyBorder="1" applyAlignment="1">
      <alignment horizontal="center" vertical="center"/>
    </xf>
    <xf numFmtId="164" fontId="16" fillId="2" borderId="1" xfId="39" applyFont="1" applyFill="1" applyBorder="1" applyAlignment="1">
      <alignment vertical="center"/>
    </xf>
    <xf numFmtId="164" fontId="17" fillId="2" borderId="1" xfId="39" applyFont="1" applyFill="1" applyBorder="1" applyAlignment="1">
      <alignment vertical="center"/>
    </xf>
    <xf numFmtId="164" fontId="16" fillId="3" borderId="1" xfId="39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49" fontId="19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4" borderId="0" xfId="16" applyFont="1" applyFill="1" applyBorder="1"/>
    <xf numFmtId="43" fontId="17" fillId="4" borderId="0" xfId="0" applyNumberFormat="1" applyFont="1" applyFill="1" applyAlignment="1">
      <alignment horizontal="right"/>
    </xf>
    <xf numFmtId="164" fontId="17" fillId="4" borderId="0" xfId="0" applyNumberFormat="1" applyFont="1" applyFill="1" applyAlignment="1">
      <alignment horizontal="right"/>
    </xf>
    <xf numFmtId="43" fontId="16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11" fillId="8" borderId="0" xfId="15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16" applyFont="1" applyFill="1" applyBorder="1" applyAlignment="1">
      <alignment horizontal="center" vertical="center"/>
    </xf>
    <xf numFmtId="0" fontId="7" fillId="4" borderId="0" xfId="0" applyFont="1" applyFill="1"/>
    <xf numFmtId="164" fontId="16" fillId="4" borderId="0" xfId="39" applyFont="1" applyFill="1" applyBorder="1"/>
    <xf numFmtId="164" fontId="16" fillId="4" borderId="0" xfId="39" applyFont="1" applyFill="1" applyAlignment="1">
      <alignment horizontal="right"/>
    </xf>
    <xf numFmtId="0" fontId="28" fillId="0" borderId="0" xfId="0" applyFont="1" applyAlignment="1">
      <alignment horizontal="center"/>
    </xf>
    <xf numFmtId="10" fontId="0" fillId="0" borderId="0" xfId="0" applyNumberFormat="1"/>
    <xf numFmtId="4" fontId="0" fillId="0" borderId="0" xfId="0" applyNumberFormat="1"/>
    <xf numFmtId="0" fontId="31" fillId="0" borderId="0" xfId="0" applyFont="1" applyAlignment="1">
      <alignment horizontal="center"/>
    </xf>
    <xf numFmtId="0" fontId="29" fillId="0" borderId="0" xfId="0" applyFont="1"/>
    <xf numFmtId="4" fontId="29" fillId="0" borderId="0" xfId="0" applyNumberFormat="1" applyFont="1"/>
    <xf numFmtId="0" fontId="29" fillId="0" borderId="0" xfId="0" applyFont="1" applyAlignment="1">
      <alignment vertical="justify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left"/>
    </xf>
    <xf numFmtId="0" fontId="32" fillId="0" borderId="1" xfId="0" applyFont="1" applyBorder="1" applyAlignment="1">
      <alignment horizontal="center"/>
    </xf>
    <xf numFmtId="10" fontId="32" fillId="0" borderId="1" xfId="0" applyNumberFormat="1" applyFont="1" applyBorder="1" applyAlignment="1">
      <alignment horizontal="center"/>
    </xf>
    <xf numFmtId="0" fontId="14" fillId="0" borderId="1" xfId="15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164" fontId="25" fillId="3" borderId="1" xfId="16" applyFont="1" applyFill="1" applyBorder="1" applyAlignment="1">
      <alignment vertical="center" wrapText="1"/>
    </xf>
    <xf numFmtId="0" fontId="16" fillId="4" borderId="1" xfId="0" applyFont="1" applyFill="1" applyBorder="1"/>
    <xf numFmtId="0" fontId="22" fillId="0" borderId="1" xfId="0" applyFont="1" applyFill="1" applyBorder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10" fontId="32" fillId="0" borderId="0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4" fontId="0" fillId="0" borderId="0" xfId="0" applyNumberFormat="1" applyBorder="1"/>
    <xf numFmtId="9" fontId="5" fillId="0" borderId="0" xfId="0" applyNumberFormat="1" applyFont="1" applyBorder="1"/>
    <xf numFmtId="4" fontId="32" fillId="0" borderId="0" xfId="0" applyNumberFormat="1" applyFont="1" applyBorder="1"/>
    <xf numFmtId="9" fontId="32" fillId="0" borderId="0" xfId="0" applyNumberFormat="1" applyFont="1" applyBorder="1"/>
    <xf numFmtId="10" fontId="32" fillId="0" borderId="0" xfId="0" applyNumberFormat="1" applyFont="1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0" fillId="0" borderId="1" xfId="43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9" fontId="3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left"/>
    </xf>
    <xf numFmtId="4" fontId="3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0" borderId="1" xfId="44" applyFont="1" applyBorder="1" applyAlignment="1">
      <alignment horizontal="center"/>
    </xf>
    <xf numFmtId="44" fontId="32" fillId="0" borderId="1" xfId="44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2" fontId="37" fillId="0" borderId="1" xfId="0" applyNumberFormat="1" applyFont="1" applyFill="1" applyBorder="1"/>
    <xf numFmtId="0" fontId="0" fillId="0" borderId="1" xfId="0" applyFill="1" applyBorder="1"/>
    <xf numFmtId="2" fontId="0" fillId="0" borderId="13" xfId="0" applyNumberFormat="1" applyFill="1" applyBorder="1"/>
    <xf numFmtId="2" fontId="0" fillId="0" borderId="1" xfId="0" applyNumberFormat="1" applyFill="1" applyBorder="1"/>
    <xf numFmtId="0" fontId="0" fillId="0" borderId="12" xfId="0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33" fillId="0" borderId="13" xfId="0" applyFont="1" applyFill="1" applyBorder="1" applyAlignment="1">
      <alignment horizontal="center"/>
    </xf>
    <xf numFmtId="0" fontId="0" fillId="0" borderId="0" xfId="0" applyFill="1"/>
    <xf numFmtId="0" fontId="35" fillId="0" borderId="11" xfId="0" applyFont="1" applyFill="1" applyBorder="1" applyAlignment="1">
      <alignment horizontal="center" wrapText="1"/>
    </xf>
    <xf numFmtId="0" fontId="33" fillId="0" borderId="7" xfId="0" applyFont="1" applyFill="1" applyBorder="1" applyAlignment="1">
      <alignment horizontal="center" vertical="top" wrapText="1"/>
    </xf>
    <xf numFmtId="2" fontId="37" fillId="0" borderId="2" xfId="0" applyNumberFormat="1" applyFont="1" applyFill="1" applyBorder="1"/>
    <xf numFmtId="164" fontId="16" fillId="4" borderId="1" xfId="16" applyNumberFormat="1" applyFont="1" applyFill="1" applyBorder="1" applyAlignment="1">
      <alignment horizontal="center" vertical="center"/>
    </xf>
    <xf numFmtId="43" fontId="7" fillId="0" borderId="0" xfId="0" applyNumberFormat="1" applyFont="1" applyFill="1"/>
    <xf numFmtId="0" fontId="16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164" fontId="16" fillId="5" borderId="1" xfId="39" applyFont="1" applyFill="1" applyBorder="1" applyAlignment="1">
      <alignment horizontal="center" vertical="center"/>
    </xf>
    <xf numFmtId="164" fontId="16" fillId="5" borderId="0" xfId="39" applyFont="1" applyFill="1" applyBorder="1"/>
    <xf numFmtId="43" fontId="17" fillId="5" borderId="0" xfId="0" applyNumberFormat="1" applyFont="1" applyFill="1" applyAlignment="1">
      <alignment horizontal="right"/>
    </xf>
    <xf numFmtId="164" fontId="17" fillId="5" borderId="0" xfId="0" applyNumberFormat="1" applyFont="1" applyFill="1" applyAlignment="1">
      <alignment horizontal="right"/>
    </xf>
    <xf numFmtId="164" fontId="16" fillId="5" borderId="0" xfId="39" applyFont="1" applyFill="1" applyAlignment="1">
      <alignment horizontal="right"/>
    </xf>
    <xf numFmtId="43" fontId="16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  <xf numFmtId="164" fontId="16" fillId="5" borderId="1" xfId="16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4" fillId="0" borderId="1" xfId="15" applyFont="1" applyBorder="1" applyAlignment="1">
      <alignment horizontal="center" vertical="center" wrapText="1"/>
    </xf>
    <xf numFmtId="0" fontId="33" fillId="0" borderId="25" xfId="0" applyFont="1" applyFill="1" applyBorder="1"/>
    <xf numFmtId="0" fontId="0" fillId="0" borderId="26" xfId="0" applyFill="1" applyBorder="1"/>
    <xf numFmtId="0" fontId="33" fillId="0" borderId="22" xfId="0" applyFont="1" applyFill="1" applyBorder="1"/>
    <xf numFmtId="44" fontId="20" fillId="0" borderId="0" xfId="0" applyNumberFormat="1" applyFont="1" applyFill="1" applyAlignment="1">
      <alignment horizontal="center"/>
    </xf>
    <xf numFmtId="164" fontId="17" fillId="2" borderId="14" xfId="39" applyFont="1" applyFill="1" applyBorder="1" applyAlignment="1">
      <alignment vertical="center"/>
    </xf>
    <xf numFmtId="164" fontId="17" fillId="0" borderId="29" xfId="16" applyFont="1" applyBorder="1" applyAlignment="1">
      <alignment horizontal="center" vertical="center"/>
    </xf>
    <xf numFmtId="164" fontId="7" fillId="0" borderId="1" xfId="16" applyFont="1" applyFill="1" applyBorder="1"/>
    <xf numFmtId="164" fontId="7" fillId="5" borderId="1" xfId="16" applyFont="1" applyFill="1" applyBorder="1"/>
    <xf numFmtId="0" fontId="7" fillId="0" borderId="1" xfId="16" applyNumberFormat="1" applyFont="1" applyFill="1" applyBorder="1" applyAlignment="1">
      <alignment horizontal="left"/>
    </xf>
    <xf numFmtId="164" fontId="16" fillId="0" borderId="1" xfId="16" applyFont="1" applyBorder="1"/>
    <xf numFmtId="164" fontId="21" fillId="0" borderId="1" xfId="16" applyFont="1" applyFill="1" applyBorder="1"/>
    <xf numFmtId="164" fontId="8" fillId="0" borderId="0" xfId="16" applyFont="1" applyFill="1" applyBorder="1" applyAlignment="1">
      <alignment vertical="center"/>
    </xf>
    <xf numFmtId="168" fontId="16" fillId="0" borderId="0" xfId="16" applyNumberFormat="1" applyFont="1" applyFill="1" applyBorder="1"/>
    <xf numFmtId="164" fontId="23" fillId="0" borderId="0" xfId="16" applyFont="1" applyFill="1" applyBorder="1"/>
    <xf numFmtId="164" fontId="16" fillId="0" borderId="0" xfId="16" applyFont="1" applyFill="1" applyBorder="1" applyAlignment="1"/>
    <xf numFmtId="164" fontId="16" fillId="0" borderId="0" xfId="39" applyFont="1" applyFill="1" applyBorder="1"/>
    <xf numFmtId="164" fontId="7" fillId="0" borderId="0" xfId="17" applyFont="1" applyFill="1"/>
    <xf numFmtId="0" fontId="11" fillId="0" borderId="0" xfId="15" applyFont="1" applyFill="1" applyAlignment="1">
      <alignment vertical="center"/>
    </xf>
    <xf numFmtId="164" fontId="16" fillId="0" borderId="0" xfId="39" applyFont="1" applyFill="1" applyAlignment="1">
      <alignment horizontal="right"/>
    </xf>
    <xf numFmtId="43" fontId="27" fillId="0" borderId="0" xfId="0" applyNumberFormat="1" applyFont="1" applyFill="1" applyAlignment="1">
      <alignment horizontal="right"/>
    </xf>
    <xf numFmtId="164" fontId="7" fillId="0" borderId="0" xfId="39" applyFont="1" applyFill="1" applyBorder="1"/>
    <xf numFmtId="164" fontId="7" fillId="5" borderId="0" xfId="39" applyFont="1" applyFill="1" applyBorder="1"/>
    <xf numFmtId="0" fontId="7" fillId="0" borderId="0" xfId="39" applyNumberFormat="1" applyFont="1" applyFill="1" applyBorder="1" applyAlignment="1">
      <alignment horizontal="left"/>
    </xf>
    <xf numFmtId="164" fontId="17" fillId="0" borderId="1" xfId="39" applyFont="1" applyFill="1" applyBorder="1" applyAlignment="1">
      <alignment horizontal="center" vertical="center"/>
    </xf>
    <xf numFmtId="164" fontId="16" fillId="0" borderId="0" xfId="39" applyFont="1" applyBorder="1"/>
    <xf numFmtId="164" fontId="25" fillId="3" borderId="1" xfId="39" applyFont="1" applyFill="1" applyBorder="1" applyAlignment="1">
      <alignment vertical="center" wrapText="1"/>
    </xf>
    <xf numFmtId="164" fontId="16" fillId="7" borderId="0" xfId="39" applyFont="1" applyFill="1" applyBorder="1"/>
    <xf numFmtId="164" fontId="16" fillId="0" borderId="1" xfId="39" applyFont="1" applyFill="1" applyBorder="1" applyAlignment="1">
      <alignment horizontal="center" vertical="center"/>
    </xf>
    <xf numFmtId="164" fontId="23" fillId="0" borderId="0" xfId="39" applyFont="1" applyFill="1" applyBorder="1"/>
    <xf numFmtId="0" fontId="0" fillId="3" borderId="1" xfId="0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 wrapText="1"/>
    </xf>
    <xf numFmtId="164" fontId="8" fillId="8" borderId="0" xfId="39" applyFont="1" applyFill="1" applyBorder="1" applyAlignment="1">
      <alignment vertical="center"/>
    </xf>
    <xf numFmtId="164" fontId="16" fillId="4" borderId="1" xfId="39" applyFont="1" applyFill="1" applyBorder="1"/>
    <xf numFmtId="0" fontId="16" fillId="3" borderId="1" xfId="0" applyFont="1" applyFill="1" applyBorder="1" applyAlignment="1">
      <alignment horizontal="left" vertical="center" wrapText="1"/>
    </xf>
    <xf numFmtId="0" fontId="0" fillId="4" borderId="0" xfId="0" applyFill="1"/>
    <xf numFmtId="0" fontId="19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top" wrapText="1"/>
    </xf>
    <xf numFmtId="0" fontId="35" fillId="3" borderId="11" xfId="0" applyFont="1" applyFill="1" applyBorder="1" applyAlignment="1">
      <alignment horizontal="center" wrapText="1"/>
    </xf>
    <xf numFmtId="0" fontId="33" fillId="3" borderId="12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3" fillId="3" borderId="1" xfId="0" applyFont="1" applyFill="1" applyBorder="1"/>
    <xf numFmtId="0" fontId="33" fillId="3" borderId="13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2" fontId="0" fillId="3" borderId="13" xfId="0" applyNumberFormat="1" applyFill="1" applyBorder="1"/>
    <xf numFmtId="0" fontId="0" fillId="3" borderId="12" xfId="0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 wrapText="1"/>
    </xf>
    <xf numFmtId="0" fontId="33" fillId="3" borderId="25" xfId="0" applyFont="1" applyFill="1" applyBorder="1"/>
    <xf numFmtId="0" fontId="0" fillId="3" borderId="26" xfId="0" applyFill="1" applyBorder="1"/>
    <xf numFmtId="0" fontId="33" fillId="3" borderId="22" xfId="0" applyFont="1" applyFill="1" applyBorder="1"/>
    <xf numFmtId="0" fontId="0" fillId="3" borderId="0" xfId="0" applyFill="1"/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33" fillId="3" borderId="32" xfId="0" applyFont="1" applyFill="1" applyBorder="1"/>
    <xf numFmtId="2" fontId="5" fillId="3" borderId="0" xfId="0" applyNumberFormat="1" applyFont="1" applyFill="1" applyBorder="1" applyAlignment="1">
      <alignment horizontal="left" wrapText="1"/>
    </xf>
    <xf numFmtId="2" fontId="0" fillId="3" borderId="0" xfId="0" applyNumberFormat="1" applyFill="1" applyBorder="1" applyAlignment="1">
      <alignment horizontal="left" wrapText="1"/>
    </xf>
    <xf numFmtId="2" fontId="0" fillId="3" borderId="33" xfId="0" applyNumberForma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2" fontId="0" fillId="3" borderId="13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2" fontId="37" fillId="3" borderId="1" xfId="0" applyNumberFormat="1" applyFont="1" applyFill="1" applyBorder="1"/>
    <xf numFmtId="0" fontId="33" fillId="3" borderId="17" xfId="0" applyFont="1" applyFill="1" applyBorder="1"/>
    <xf numFmtId="0" fontId="0" fillId="3" borderId="18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2" fontId="37" fillId="3" borderId="0" xfId="0" applyNumberFormat="1" applyFont="1" applyFill="1" applyBorder="1"/>
    <xf numFmtId="2" fontId="0" fillId="3" borderId="0" xfId="0" applyNumberFormat="1" applyFill="1" applyBorder="1"/>
    <xf numFmtId="0" fontId="0" fillId="3" borderId="1" xfId="0" applyFill="1" applyBorder="1" applyAlignment="1">
      <alignment wrapText="1"/>
    </xf>
    <xf numFmtId="2" fontId="37" fillId="3" borderId="2" xfId="0" applyNumberFormat="1" applyFont="1" applyFill="1" applyBorder="1"/>
    <xf numFmtId="0" fontId="5" fillId="3" borderId="0" xfId="0" applyFont="1" applyFill="1"/>
    <xf numFmtId="0" fontId="0" fillId="5" borderId="0" xfId="0" applyFill="1"/>
    <xf numFmtId="0" fontId="41" fillId="4" borderId="0" xfId="0" applyFont="1" applyFill="1"/>
    <xf numFmtId="0" fontId="41" fillId="0" borderId="0" xfId="0" applyFont="1"/>
    <xf numFmtId="0" fontId="5" fillId="3" borderId="14" xfId="0" applyFont="1" applyFill="1" applyBorder="1"/>
    <xf numFmtId="0" fontId="37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29" xfId="0" applyFont="1" applyFill="1" applyBorder="1"/>
    <xf numFmtId="0" fontId="37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wrapText="1"/>
    </xf>
    <xf numFmtId="0" fontId="19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2" fontId="37" fillId="3" borderId="14" xfId="0" applyNumberFormat="1" applyFont="1" applyFill="1" applyBorder="1"/>
    <xf numFmtId="0" fontId="0" fillId="3" borderId="14" xfId="0" applyFill="1" applyBorder="1"/>
    <xf numFmtId="2" fontId="0" fillId="3" borderId="28" xfId="0" applyNumberFormat="1" applyFill="1" applyBorder="1"/>
    <xf numFmtId="0" fontId="33" fillId="3" borderId="34" xfId="45" applyFont="1" applyFill="1" applyBorder="1" applyAlignment="1">
      <alignment horizontal="center" vertical="top"/>
    </xf>
    <xf numFmtId="0" fontId="35" fillId="3" borderId="35" xfId="45" applyFont="1" applyFill="1" applyBorder="1" applyAlignment="1">
      <alignment horizontal="center" wrapText="1"/>
    </xf>
    <xf numFmtId="0" fontId="33" fillId="3" borderId="12" xfId="45" applyFont="1" applyFill="1" applyBorder="1" applyAlignment="1">
      <alignment horizontal="center"/>
    </xf>
    <xf numFmtId="0" fontId="33" fillId="3" borderId="1" xfId="45" applyFont="1" applyFill="1" applyBorder="1" applyAlignment="1">
      <alignment horizontal="center"/>
    </xf>
    <xf numFmtId="0" fontId="33" fillId="3" borderId="1" xfId="45" applyFont="1" applyFill="1" applyBorder="1"/>
    <xf numFmtId="4" fontId="33" fillId="3" borderId="1" xfId="45" applyNumberFormat="1" applyFont="1" applyFill="1" applyBorder="1" applyAlignment="1">
      <alignment horizontal="center"/>
    </xf>
    <xf numFmtId="0" fontId="33" fillId="3" borderId="13" xfId="45" applyFont="1" applyFill="1" applyBorder="1" applyAlignment="1">
      <alignment horizontal="center"/>
    </xf>
    <xf numFmtId="0" fontId="37" fillId="3" borderId="1" xfId="45" applyFont="1" applyFill="1" applyBorder="1" applyAlignment="1">
      <alignment wrapText="1"/>
    </xf>
    <xf numFmtId="0" fontId="37" fillId="3" borderId="1" xfId="45" applyFont="1" applyFill="1" applyBorder="1" applyAlignment="1"/>
    <xf numFmtId="0" fontId="37" fillId="3" borderId="1" xfId="45" applyFont="1" applyFill="1" applyBorder="1"/>
    <xf numFmtId="0" fontId="42" fillId="3" borderId="12" xfId="45" applyFont="1" applyFill="1" applyBorder="1" applyAlignment="1">
      <alignment horizontal="center"/>
    </xf>
    <xf numFmtId="0" fontId="42" fillId="3" borderId="1" xfId="45" applyFont="1" applyFill="1" applyBorder="1" applyAlignment="1">
      <alignment horizontal="center"/>
    </xf>
    <xf numFmtId="4" fontId="42" fillId="3" borderId="1" xfId="45" applyNumberFormat="1" applyFont="1" applyFill="1" applyBorder="1" applyAlignment="1">
      <alignment horizontal="center"/>
    </xf>
    <xf numFmtId="0" fontId="42" fillId="3" borderId="13" xfId="45" applyFont="1" applyFill="1" applyBorder="1" applyAlignment="1">
      <alignment horizontal="center"/>
    </xf>
    <xf numFmtId="0" fontId="37" fillId="3" borderId="12" xfId="45" applyFont="1" applyFill="1" applyBorder="1" applyAlignment="1">
      <alignment horizontal="center"/>
    </xf>
    <xf numFmtId="0" fontId="37" fillId="3" borderId="1" xfId="45" applyFont="1" applyFill="1" applyBorder="1" applyAlignment="1">
      <alignment horizontal="center"/>
    </xf>
    <xf numFmtId="2" fontId="37" fillId="3" borderId="1" xfId="45" applyNumberFormat="1" applyFont="1" applyFill="1" applyBorder="1"/>
    <xf numFmtId="4" fontId="37" fillId="3" borderId="1" xfId="45" applyNumberFormat="1" applyFont="1" applyFill="1" applyBorder="1"/>
    <xf numFmtId="2" fontId="37" fillId="3" borderId="13" xfId="45" applyNumberFormat="1" applyFont="1" applyFill="1" applyBorder="1"/>
    <xf numFmtId="0" fontId="33" fillId="0" borderId="25" xfId="45" applyFont="1" applyBorder="1"/>
    <xf numFmtId="0" fontId="2" fillId="0" borderId="26" xfId="45" applyBorder="1"/>
    <xf numFmtId="164" fontId="16" fillId="6" borderId="0" xfId="39" applyFont="1" applyFill="1" applyBorder="1"/>
    <xf numFmtId="164" fontId="16" fillId="0" borderId="0" xfId="39" applyFont="1" applyFill="1" applyBorder="1" applyAlignment="1">
      <alignment wrapText="1"/>
    </xf>
    <xf numFmtId="0" fontId="12" fillId="2" borderId="1" xfId="15" applyFont="1" applyFill="1" applyBorder="1" applyAlignment="1">
      <alignment horizontal="center" vertical="center"/>
    </xf>
    <xf numFmtId="164" fontId="16" fillId="2" borderId="1" xfId="16" applyFont="1" applyFill="1" applyBorder="1" applyAlignment="1">
      <alignment horizontal="right" vertical="center"/>
    </xf>
    <xf numFmtId="0" fontId="16" fillId="4" borderId="0" xfId="0" applyFont="1" applyFill="1" applyAlignment="1">
      <alignment horizontal="right"/>
    </xf>
    <xf numFmtId="49" fontId="19" fillId="0" borderId="1" xfId="0" applyNumberFormat="1" applyFont="1" applyFill="1" applyBorder="1" applyAlignment="1">
      <alignment horizontal="center" vertical="center" wrapText="1"/>
    </xf>
    <xf numFmtId="164" fontId="16" fillId="0" borderId="0" xfId="39" applyFont="1" applyFill="1" applyBorder="1" applyAlignment="1">
      <alignment horizontal="center" vertical="center"/>
    </xf>
    <xf numFmtId="170" fontId="16" fillId="0" borderId="0" xfId="16" applyNumberFormat="1" applyFont="1" applyFill="1" applyBorder="1"/>
    <xf numFmtId="164" fontId="16" fillId="4" borderId="1" xfId="16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4" fontId="16" fillId="4" borderId="1" xfId="16" applyFont="1" applyFill="1" applyBorder="1"/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right" vertical="center" wrapText="1"/>
    </xf>
    <xf numFmtId="10" fontId="43" fillId="0" borderId="1" xfId="0" applyNumberFormat="1" applyFont="1" applyFill="1" applyBorder="1" applyAlignment="1">
      <alignment horizontal="center" vertical="center" wrapText="1"/>
    </xf>
    <xf numFmtId="165" fontId="43" fillId="0" borderId="1" xfId="35" applyFont="1" applyFill="1" applyBorder="1" applyAlignment="1">
      <alignment horizontal="center" vertical="center" wrapText="1"/>
    </xf>
    <xf numFmtId="49" fontId="5" fillId="0" borderId="0" xfId="0" applyNumberFormat="1" applyFont="1"/>
    <xf numFmtId="0" fontId="33" fillId="0" borderId="7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top"/>
    </xf>
    <xf numFmtId="0" fontId="5" fillId="3" borderId="2" xfId="0" applyFont="1" applyFill="1" applyBorder="1" applyAlignment="1"/>
    <xf numFmtId="0" fontId="5" fillId="3" borderId="15" xfId="0" applyFont="1" applyFill="1" applyBorder="1" applyAlignment="1"/>
    <xf numFmtId="0" fontId="5" fillId="3" borderId="3" xfId="0" applyFont="1" applyFill="1" applyBorder="1" applyAlignment="1"/>
    <xf numFmtId="0" fontId="33" fillId="0" borderId="1" xfId="0" applyFont="1" applyFill="1" applyBorder="1" applyAlignment="1">
      <alignment vertical="top"/>
    </xf>
    <xf numFmtId="0" fontId="0" fillId="0" borderId="36" xfId="0" applyFill="1" applyBorder="1" applyAlignment="1">
      <alignment horizontal="center"/>
    </xf>
    <xf numFmtId="0" fontId="33" fillId="0" borderId="19" xfId="45" applyFont="1" applyFill="1" applyBorder="1"/>
    <xf numFmtId="0" fontId="2" fillId="0" borderId="20" xfId="45" applyFill="1" applyBorder="1"/>
    <xf numFmtId="0" fontId="2" fillId="0" borderId="20" xfId="45" applyFont="1" applyFill="1" applyBorder="1" applyAlignment="1">
      <alignment horizontal="left"/>
    </xf>
    <xf numFmtId="0" fontId="2" fillId="0" borderId="20" xfId="45" applyFill="1" applyBorder="1" applyAlignment="1">
      <alignment horizontal="left"/>
    </xf>
    <xf numFmtId="0" fontId="2" fillId="0" borderId="39" xfId="45" applyFill="1" applyBorder="1" applyAlignment="1">
      <alignment horizontal="left"/>
    </xf>
    <xf numFmtId="0" fontId="2" fillId="0" borderId="40" xfId="45" applyFill="1" applyBorder="1" applyAlignment="1">
      <alignment horizontal="left"/>
    </xf>
    <xf numFmtId="0" fontId="33" fillId="0" borderId="34" xfId="45" applyFont="1" applyFill="1" applyBorder="1" applyAlignment="1">
      <alignment horizontal="center" vertical="top"/>
    </xf>
    <xf numFmtId="0" fontId="35" fillId="0" borderId="35" xfId="45" applyFont="1" applyFill="1" applyBorder="1" applyAlignment="1">
      <alignment horizontal="center" wrapText="1"/>
    </xf>
    <xf numFmtId="0" fontId="33" fillId="0" borderId="12" xfId="45" applyFont="1" applyFill="1" applyBorder="1" applyAlignment="1">
      <alignment horizontal="center"/>
    </xf>
    <xf numFmtId="0" fontId="33" fillId="0" borderId="1" xfId="45" applyFont="1" applyFill="1" applyBorder="1" applyAlignment="1">
      <alignment horizontal="center"/>
    </xf>
    <xf numFmtId="0" fontId="33" fillId="0" borderId="1" xfId="45" applyFont="1" applyFill="1" applyBorder="1"/>
    <xf numFmtId="4" fontId="33" fillId="0" borderId="1" xfId="45" applyNumberFormat="1" applyFont="1" applyFill="1" applyBorder="1" applyAlignment="1">
      <alignment horizontal="center"/>
    </xf>
    <xf numFmtId="0" fontId="33" fillId="0" borderId="13" xfId="45" applyFont="1" applyFill="1" applyBorder="1" applyAlignment="1">
      <alignment horizontal="center"/>
    </xf>
    <xf numFmtId="0" fontId="37" fillId="0" borderId="12" xfId="45" applyFont="1" applyFill="1" applyBorder="1" applyAlignment="1">
      <alignment horizontal="center"/>
    </xf>
    <xf numFmtId="0" fontId="37" fillId="0" borderId="1" xfId="45" applyFont="1" applyFill="1" applyBorder="1" applyAlignment="1">
      <alignment horizontal="center"/>
    </xf>
    <xf numFmtId="0" fontId="37" fillId="0" borderId="1" xfId="45" applyFont="1" applyFill="1" applyBorder="1"/>
    <xf numFmtId="2" fontId="37" fillId="0" borderId="1" xfId="45" applyNumberFormat="1" applyFont="1" applyFill="1" applyBorder="1"/>
    <xf numFmtId="4" fontId="37" fillId="0" borderId="1" xfId="45" applyNumberFormat="1" applyFont="1" applyFill="1" applyBorder="1"/>
    <xf numFmtId="0" fontId="37" fillId="0" borderId="13" xfId="45" applyFont="1" applyFill="1" applyBorder="1"/>
    <xf numFmtId="0" fontId="33" fillId="0" borderId="32" xfId="45" applyFont="1" applyBorder="1"/>
    <xf numFmtId="0" fontId="2" fillId="0" borderId="0" xfId="45" applyBorder="1"/>
    <xf numFmtId="0" fontId="5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33" fillId="0" borderId="17" xfId="45" applyFont="1" applyBorder="1"/>
    <xf numFmtId="0" fontId="2" fillId="0" borderId="18" xfId="45" applyBorder="1"/>
    <xf numFmtId="0" fontId="16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0" fontId="37" fillId="0" borderId="2" xfId="0" applyFont="1" applyFill="1" applyBorder="1" applyAlignment="1">
      <alignment horizontal="center"/>
    </xf>
    <xf numFmtId="0" fontId="5" fillId="0" borderId="14" xfId="0" applyFont="1" applyFill="1" applyBorder="1"/>
    <xf numFmtId="0" fontId="0" fillId="0" borderId="3" xfId="0" applyFill="1" applyBorder="1" applyAlignment="1">
      <alignment horizontal="center"/>
    </xf>
    <xf numFmtId="0" fontId="5" fillId="0" borderId="29" xfId="0" applyFont="1" applyFill="1" applyBorder="1"/>
    <xf numFmtId="0" fontId="5" fillId="0" borderId="1" xfId="0" applyFont="1" applyFill="1" applyBorder="1" applyAlignment="1">
      <alignment horizontal="center"/>
    </xf>
    <xf numFmtId="0" fontId="33" fillId="0" borderId="32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33" fillId="0" borderId="7" xfId="45" applyFont="1" applyFill="1" applyBorder="1" applyAlignment="1">
      <alignment horizontal="center" vertical="top"/>
    </xf>
    <xf numFmtId="0" fontId="35" fillId="0" borderId="11" xfId="45" applyFont="1" applyFill="1" applyBorder="1" applyAlignment="1">
      <alignment horizontal="center" wrapText="1"/>
    </xf>
    <xf numFmtId="0" fontId="33" fillId="0" borderId="17" xfId="0" applyFont="1" applyFill="1" applyBorder="1"/>
    <xf numFmtId="0" fontId="0" fillId="0" borderId="18" xfId="0" applyFill="1" applyBorder="1"/>
    <xf numFmtId="4" fontId="44" fillId="0" borderId="1" xfId="45" applyNumberFormat="1" applyFont="1" applyFill="1" applyBorder="1" applyAlignment="1">
      <alignment horizontal="center"/>
    </xf>
    <xf numFmtId="0" fontId="45" fillId="0" borderId="1" xfId="45" applyFont="1" applyFill="1" applyBorder="1" applyAlignment="1">
      <alignment horizontal="center"/>
    </xf>
    <xf numFmtId="0" fontId="37" fillId="0" borderId="1" xfId="45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0" xfId="39" applyFont="1" applyFill="1" applyBorder="1"/>
    <xf numFmtId="43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16" fillId="3" borderId="0" xfId="39" applyFont="1" applyFill="1" applyAlignment="1">
      <alignment horizontal="right"/>
    </xf>
    <xf numFmtId="43" fontId="16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right"/>
    </xf>
    <xf numFmtId="0" fontId="16" fillId="3" borderId="1" xfId="0" applyFont="1" applyFill="1" applyBorder="1" applyAlignment="1">
      <alignment horizontal="left" vertical="center"/>
    </xf>
    <xf numFmtId="0" fontId="15" fillId="0" borderId="1" xfId="15" applyFont="1" applyBorder="1" applyAlignment="1">
      <alignment horizontal="center" vertical="center" wrapText="1"/>
    </xf>
    <xf numFmtId="10" fontId="43" fillId="0" borderId="1" xfId="0" applyNumberFormat="1" applyFont="1" applyFill="1" applyBorder="1" applyAlignment="1">
      <alignment horizontal="center" vertical="center" wrapText="1"/>
    </xf>
    <xf numFmtId="165" fontId="43" fillId="0" borderId="1" xfId="35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/>
    </xf>
    <xf numFmtId="0" fontId="12" fillId="0" borderId="1" xfId="15" applyFont="1" applyBorder="1" applyAlignment="1">
      <alignment horizontal="center" vertical="center" wrapText="1"/>
    </xf>
    <xf numFmtId="0" fontId="14" fillId="0" borderId="1" xfId="15" applyFont="1" applyBorder="1" applyAlignment="1">
      <alignment horizontal="center" vertical="center" wrapText="1"/>
    </xf>
    <xf numFmtId="0" fontId="12" fillId="8" borderId="1" xfId="15" applyFont="1" applyFill="1" applyBorder="1" applyAlignment="1">
      <alignment horizontal="center" vertical="center"/>
    </xf>
    <xf numFmtId="0" fontId="18" fillId="0" borderId="2" xfId="15" applyFont="1" applyFill="1" applyBorder="1" applyAlignment="1">
      <alignment horizontal="left" vertical="center" wrapText="1"/>
    </xf>
    <xf numFmtId="0" fontId="18" fillId="0" borderId="15" xfId="15" applyFont="1" applyFill="1" applyBorder="1" applyAlignment="1">
      <alignment horizontal="left" vertical="center" wrapText="1"/>
    </xf>
    <xf numFmtId="0" fontId="18" fillId="0" borderId="3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center" vertical="center"/>
    </xf>
    <xf numFmtId="44" fontId="43" fillId="0" borderId="1" xfId="35" applyNumberFormat="1" applyFont="1" applyFill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44" fontId="7" fillId="0" borderId="26" xfId="44" applyFont="1" applyBorder="1" applyAlignment="1">
      <alignment horizontal="center" vertical="center"/>
    </xf>
    <xf numFmtId="43" fontId="43" fillId="0" borderId="1" xfId="35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left" vertical="top"/>
    </xf>
    <xf numFmtId="0" fontId="33" fillId="3" borderId="9" xfId="0" applyFont="1" applyFill="1" applyBorder="1" applyAlignment="1">
      <alignment horizontal="left" vertical="top"/>
    </xf>
    <xf numFmtId="0" fontId="33" fillId="3" borderId="10" xfId="0" applyFont="1" applyFill="1" applyBorder="1" applyAlignment="1">
      <alignment horizontal="left" vertical="top"/>
    </xf>
    <xf numFmtId="0" fontId="33" fillId="3" borderId="8" xfId="0" applyFont="1" applyFill="1" applyBorder="1" applyAlignment="1">
      <alignment horizontal="left" vertical="top" wrapText="1"/>
    </xf>
    <xf numFmtId="0" fontId="33" fillId="3" borderId="9" xfId="0" applyFont="1" applyFill="1" applyBorder="1" applyAlignment="1">
      <alignment horizontal="left" vertical="top" wrapText="1"/>
    </xf>
    <xf numFmtId="0" fontId="33" fillId="3" borderId="10" xfId="0" applyFont="1" applyFill="1" applyBorder="1" applyAlignment="1">
      <alignment horizontal="left" vertical="top" wrapText="1"/>
    </xf>
    <xf numFmtId="0" fontId="38" fillId="3" borderId="12" xfId="0" applyFont="1" applyFill="1" applyBorder="1" applyAlignment="1">
      <alignment horizontal="center"/>
    </xf>
    <xf numFmtId="0" fontId="38" fillId="3" borderId="14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169" fontId="38" fillId="3" borderId="2" xfId="0" applyNumberFormat="1" applyFont="1" applyFill="1" applyBorder="1" applyAlignment="1">
      <alignment horizontal="center"/>
    </xf>
    <xf numFmtId="169" fontId="38" fillId="3" borderId="15" xfId="0" applyNumberFormat="1" applyFont="1" applyFill="1" applyBorder="1" applyAlignment="1">
      <alignment horizontal="center"/>
    </xf>
    <xf numFmtId="169" fontId="38" fillId="3" borderId="16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34" fillId="9" borderId="4" xfId="0" applyFont="1" applyFill="1" applyBorder="1" applyAlignment="1">
      <alignment horizontal="center"/>
    </xf>
    <xf numFmtId="0" fontId="34" fillId="9" borderId="5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38" fillId="3" borderId="31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38" fillId="0" borderId="12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9" fontId="38" fillId="0" borderId="2" xfId="0" applyNumberFormat="1" applyFont="1" applyFill="1" applyBorder="1" applyAlignment="1">
      <alignment horizontal="center"/>
    </xf>
    <xf numFmtId="169" fontId="38" fillId="0" borderId="15" xfId="0" applyNumberFormat="1" applyFont="1" applyFill="1" applyBorder="1" applyAlignment="1">
      <alignment horizontal="center"/>
    </xf>
    <xf numFmtId="169" fontId="38" fillId="0" borderId="16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69" fontId="38" fillId="0" borderId="2" xfId="45" applyNumberFormat="1" applyFont="1" applyBorder="1" applyAlignment="1">
      <alignment horizontal="center"/>
    </xf>
    <xf numFmtId="169" fontId="38" fillId="0" borderId="15" xfId="45" applyNumberFormat="1" applyFont="1" applyBorder="1" applyAlignment="1">
      <alignment horizontal="center"/>
    </xf>
    <xf numFmtId="169" fontId="38" fillId="0" borderId="16" xfId="45" applyNumberFormat="1" applyFont="1" applyBorder="1" applyAlignment="1">
      <alignment horizontal="center"/>
    </xf>
    <xf numFmtId="0" fontId="33" fillId="0" borderId="8" xfId="45" applyFont="1" applyFill="1" applyBorder="1" applyAlignment="1">
      <alignment horizontal="left" vertical="top"/>
    </xf>
    <xf numFmtId="0" fontId="33" fillId="0" borderId="9" xfId="45" applyFont="1" applyFill="1" applyBorder="1" applyAlignment="1">
      <alignment horizontal="left" vertical="top"/>
    </xf>
    <xf numFmtId="0" fontId="33" fillId="0" borderId="10" xfId="45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169" fontId="38" fillId="3" borderId="1" xfId="0" applyNumberFormat="1" applyFont="1" applyFill="1" applyBorder="1" applyAlignment="1">
      <alignment horizontal="center"/>
    </xf>
    <xf numFmtId="0" fontId="33" fillId="3" borderId="8" xfId="45" applyFont="1" applyFill="1" applyBorder="1" applyAlignment="1">
      <alignment horizontal="left" vertical="top"/>
    </xf>
    <xf numFmtId="0" fontId="33" fillId="3" borderId="9" xfId="45" applyFont="1" applyFill="1" applyBorder="1" applyAlignment="1">
      <alignment horizontal="left" vertical="top"/>
    </xf>
    <xf numFmtId="0" fontId="33" fillId="3" borderId="10" xfId="45" applyFont="1" applyFill="1" applyBorder="1" applyAlignment="1">
      <alignment horizontal="left" vertical="top"/>
    </xf>
    <xf numFmtId="0" fontId="38" fillId="0" borderId="12" xfId="45" applyFont="1" applyBorder="1" applyAlignment="1">
      <alignment horizontal="center"/>
    </xf>
    <xf numFmtId="0" fontId="38" fillId="0" borderId="14" xfId="45" applyFont="1" applyBorder="1" applyAlignment="1">
      <alignment horizontal="center"/>
    </xf>
    <xf numFmtId="0" fontId="38" fillId="0" borderId="1" xfId="45" applyFont="1" applyBorder="1" applyAlignment="1">
      <alignment horizontal="center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left" wrapText="1"/>
    </xf>
    <xf numFmtId="0" fontId="39" fillId="0" borderId="19" xfId="0" applyFont="1" applyBorder="1" applyAlignment="1">
      <alignment horizontal="center" wrapText="1"/>
    </xf>
    <xf numFmtId="0" fontId="39" fillId="0" borderId="20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22" xfId="0" applyFont="1" applyBorder="1" applyAlignment="1">
      <alignment horizontal="center" wrapText="1"/>
    </xf>
    <xf numFmtId="0" fontId="39" fillId="0" borderId="23" xfId="0" applyFont="1" applyBorder="1" applyAlignment="1">
      <alignment horizontal="center" wrapText="1"/>
    </xf>
    <xf numFmtId="0" fontId="39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5" fillId="3" borderId="41" xfId="0" applyFont="1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164" fontId="16" fillId="4" borderId="2" xfId="16" applyFont="1" applyFill="1" applyBorder="1" applyAlignment="1">
      <alignment horizontal="center" vertical="center"/>
    </xf>
    <xf numFmtId="164" fontId="16" fillId="0" borderId="2" xfId="16" applyFont="1" applyFill="1" applyBorder="1" applyAlignment="1">
      <alignment horizontal="center" vertical="center"/>
    </xf>
    <xf numFmtId="164" fontId="16" fillId="0" borderId="0" xfId="16" applyFont="1" applyFill="1" applyBorder="1" applyAlignment="1">
      <alignment horizontal="center" vertical="center"/>
    </xf>
    <xf numFmtId="164" fontId="16" fillId="4" borderId="0" xfId="16" applyFont="1" applyFill="1" applyBorder="1" applyAlignment="1">
      <alignment horizontal="center" vertical="center"/>
    </xf>
    <xf numFmtId="164" fontId="16" fillId="0" borderId="46" xfId="16" applyFont="1" applyFill="1" applyBorder="1" applyAlignment="1">
      <alignment horizontal="center" vertical="center"/>
    </xf>
    <xf numFmtId="164" fontId="16" fillId="4" borderId="46" xfId="16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4" fontId="16" fillId="4" borderId="0" xfId="39" applyFont="1" applyFill="1" applyBorder="1" applyAlignment="1">
      <alignment horizontal="center" vertical="center"/>
    </xf>
    <xf numFmtId="164" fontId="16" fillId="0" borderId="0" xfId="16" applyFont="1" applyFill="1" applyBorder="1" applyAlignment="1">
      <alignment horizontal="right"/>
    </xf>
    <xf numFmtId="43" fontId="16" fillId="0" borderId="0" xfId="0" applyNumberFormat="1" applyFont="1" applyFill="1" applyBorder="1" applyAlignment="1">
      <alignment horizontal="right"/>
    </xf>
    <xf numFmtId="164" fontId="16" fillId="4" borderId="0" xfId="16" applyFont="1" applyFill="1" applyBorder="1" applyAlignment="1">
      <alignment horizontal="right"/>
    </xf>
    <xf numFmtId="43" fontId="16" fillId="4" borderId="0" xfId="0" applyNumberFormat="1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164" fontId="16" fillId="0" borderId="0" xfId="39" applyFont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right"/>
    </xf>
    <xf numFmtId="164" fontId="16" fillId="4" borderId="0" xfId="39" applyFont="1" applyFill="1" applyBorder="1" applyAlignment="1">
      <alignment horizontal="right"/>
    </xf>
    <xf numFmtId="164" fontId="16" fillId="2" borderId="0" xfId="16" applyFont="1" applyFill="1" applyBorder="1" applyAlignment="1">
      <alignment vertical="center"/>
    </xf>
    <xf numFmtId="164" fontId="16" fillId="0" borderId="0" xfId="16" applyFont="1" applyBorder="1" applyAlignment="1">
      <alignment horizontal="center" vertical="center"/>
    </xf>
    <xf numFmtId="164" fontId="17" fillId="0" borderId="0" xfId="16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horizontal="center"/>
    </xf>
    <xf numFmtId="164" fontId="16" fillId="4" borderId="2" xfId="39" applyFont="1" applyFill="1" applyBorder="1" applyAlignment="1">
      <alignment horizontal="center" vertical="center"/>
    </xf>
    <xf numFmtId="164" fontId="16" fillId="0" borderId="2" xfId="39" applyFont="1" applyBorder="1" applyAlignment="1">
      <alignment horizontal="center" vertical="center"/>
    </xf>
    <xf numFmtId="43" fontId="17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43" fontId="17" fillId="4" borderId="0" xfId="0" applyNumberFormat="1" applyFont="1" applyFill="1" applyBorder="1" applyAlignment="1">
      <alignment horizontal="right"/>
    </xf>
    <xf numFmtId="164" fontId="40" fillId="4" borderId="0" xfId="39" applyFont="1" applyFill="1" applyBorder="1" applyAlignment="1">
      <alignment horizontal="center" vertical="center"/>
    </xf>
    <xf numFmtId="164" fontId="16" fillId="0" borderId="2" xfId="39" applyFont="1" applyFill="1" applyBorder="1" applyAlignment="1">
      <alignment horizontal="center" vertical="center"/>
    </xf>
    <xf numFmtId="164" fontId="16" fillId="3" borderId="2" xfId="39" applyFont="1" applyFill="1" applyBorder="1" applyAlignment="1">
      <alignment horizontal="center" vertical="center"/>
    </xf>
    <xf numFmtId="164" fontId="17" fillId="2" borderId="2" xfId="39" applyFont="1" applyFill="1" applyBorder="1" applyAlignment="1">
      <alignment vertical="center"/>
    </xf>
    <xf numFmtId="164" fontId="17" fillId="0" borderId="2" xfId="39" applyFont="1" applyBorder="1" applyAlignment="1">
      <alignment horizontal="center" vertical="center"/>
    </xf>
    <xf numFmtId="164" fontId="16" fillId="0" borderId="46" xfId="39" applyFont="1" applyFill="1" applyBorder="1"/>
    <xf numFmtId="164" fontId="16" fillId="4" borderId="46" xfId="39" applyFont="1" applyFill="1" applyBorder="1" applyAlignment="1">
      <alignment horizontal="center" vertical="center"/>
    </xf>
    <xf numFmtId="164" fontId="16" fillId="0" borderId="46" xfId="39" applyFont="1" applyBorder="1" applyAlignment="1">
      <alignment horizontal="center" vertical="center"/>
    </xf>
    <xf numFmtId="164" fontId="23" fillId="0" borderId="46" xfId="39" applyFont="1" applyFill="1" applyBorder="1"/>
    <xf numFmtId="0" fontId="7" fillId="4" borderId="0" xfId="0" applyFont="1" applyFill="1" applyBorder="1"/>
    <xf numFmtId="164" fontId="16" fillId="0" borderId="46" xfId="39" applyFont="1" applyFill="1" applyBorder="1" applyAlignment="1">
      <alignment horizontal="center" vertical="center"/>
    </xf>
    <xf numFmtId="164" fontId="16" fillId="4" borderId="46" xfId="39" applyFont="1" applyFill="1" applyBorder="1"/>
    <xf numFmtId="164" fontId="7" fillId="0" borderId="46" xfId="39" applyFont="1" applyFill="1" applyBorder="1"/>
    <xf numFmtId="0" fontId="7" fillId="0" borderId="46" xfId="39" applyNumberFormat="1" applyFont="1" applyFill="1" applyBorder="1" applyAlignment="1">
      <alignment horizontal="left"/>
    </xf>
    <xf numFmtId="164" fontId="16" fillId="0" borderId="46" xfId="39" applyFont="1" applyBorder="1"/>
    <xf numFmtId="0" fontId="0" fillId="6" borderId="0" xfId="0" applyFill="1" applyBorder="1" applyAlignment="1">
      <alignment wrapText="1"/>
    </xf>
  </cellXfs>
  <cellStyles count="46">
    <cellStyle name="Moeda" xfId="44" builtinId="4"/>
    <cellStyle name="Moeda 10" xfId="24"/>
    <cellStyle name="Moeda 2" xfId="35"/>
    <cellStyle name="Moeda 3" xfId="5"/>
    <cellStyle name="Moeda 3 2 3" xfId="22"/>
    <cellStyle name="Moeda 3 3" xfId="12"/>
    <cellStyle name="Moeda 3 3 2" xfId="25"/>
    <cellStyle name="Normal" xfId="0" builtinId="0"/>
    <cellStyle name="Normal 10" xfId="1"/>
    <cellStyle name="Normal 10 2" xfId="19"/>
    <cellStyle name="Normal 2" xfId="3"/>
    <cellStyle name="Normal 2 2" xfId="15"/>
    <cellStyle name="Normal 3" xfId="14"/>
    <cellStyle name="Normal 3 2" xfId="26"/>
    <cellStyle name="Normal 4" xfId="45"/>
    <cellStyle name="Normal 8" xfId="10"/>
    <cellStyle name="Normal 8 2" xfId="33"/>
    <cellStyle name="Porcentagem" xfId="43" builtinId="5"/>
    <cellStyle name="Porcentagem 10" xfId="4"/>
    <cellStyle name="Porcentagem 10 2" xfId="23"/>
    <cellStyle name="Porcentagem 2" xfId="18"/>
    <cellStyle name="Porcentagem 3" xfId="42"/>
    <cellStyle name="Separador de milhares 10" xfId="7"/>
    <cellStyle name="Separador de milhares 10 2" xfId="20"/>
    <cellStyle name="Separador de milhares 11" xfId="30"/>
    <cellStyle name="Separador de milhares 12" xfId="11"/>
    <cellStyle name="Separador de milhares 12 2" xfId="34"/>
    <cellStyle name="Separador de milhares 13" xfId="27"/>
    <cellStyle name="Separador de milhares 15" xfId="13"/>
    <cellStyle name="Separador de milhares 2" xfId="6"/>
    <cellStyle name="Separador de milhares 2 2" xfId="17"/>
    <cellStyle name="Separador de milhares 3 3" xfId="38"/>
    <cellStyle name="Separador de milhares 4 2" xfId="8"/>
    <cellStyle name="Separador de milhares 4 2 2" xfId="29"/>
    <cellStyle name="Separador de milhares 5 2" xfId="32"/>
    <cellStyle name="Separador de milhares 6" xfId="40"/>
    <cellStyle name="Separador de milhares 7 2" xfId="37"/>
    <cellStyle name="Separador de milhares 8 2" xfId="28"/>
    <cellStyle name="Separador de milhares 9" xfId="31"/>
    <cellStyle name="Vírgula 2" xfId="2"/>
    <cellStyle name="Vírgula 2 2" xfId="21"/>
    <cellStyle name="Vírgula 3" xfId="16"/>
    <cellStyle name="Vírgula 3 2" xfId="36"/>
    <cellStyle name="Vírgula 3 3" xfId="39"/>
    <cellStyle name="Vírgula 4" xfId="41"/>
    <cellStyle name="Vírgula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Meus%20documentos\Comercial\DERSA\CC%20013-03%20-%20Pier%20Guaruj&#225;%20-%20N&#227;oP\Planilha%20e%20Composi&#231;&#245;es\HelenoFonseca\DNER-0431\DNER431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PROJ_SANEAMENTO\SA0077_PROJ_PREF-BRUSQUE%20-%20Rede%20Drenagem%20Pluvial\META%2002_FGTS_OBRA%2009_Volume%20I%20-%20M.%20Descritivos%20e%20Or&#231;amentos\Auxiliares_Or&#231;amentos\Servi&#231;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A%20TEMPORARIA\ULTRAFERTIL\plul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QUIP\MAQUINAS\I020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Documents%20and%20Settings\FABIO\Meus%20documentos\ofertas\7480%20-%20BELGO\eletrica\7480-belgo-s03s05s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ecnico\PROJ_001_SANEAMENTO\SA0077_PROJ_PREF-BRUSQUE%20-%20Rede%20Drenagem%20Pluvial\PROJ_OBRA%2010\OB10_MEMORIAL%20DESCRITIVO_OR&#199;AMENTO\Auxiliares_Or&#231;amentos\Servi&#231;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geral\gasmig\CP%20013-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_001_SANEAMENTO/SA0058_PROJ_SEMASA_Rede%20de%20Esgoto%20-%20Cordeiros_Rib%20Murta/000_ENTREGA_11_09_06_SEMASA_EDITAVEIS/OR&#199;AMENTO/SA0058_OR&#199;AMENTO_REPROGRAMA&#199;&#195;O_R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geral\copergas\Proposta%20B\CP028itens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to\Meu\ORCAM\eteI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"/>
      <sheetName val="COTACOES"/>
      <sheetName val="PLAN"/>
      <sheetName val="RESUMO"/>
      <sheetName val="LEIS SOCIAIS"/>
      <sheetName val="BDI (2)"/>
      <sheetName val="COMP-I"/>
      <sheetName val="COMP-II"/>
      <sheetName val="EQUIP"/>
      <sheetName val="SALARIO"/>
      <sheetName val="MATERIAL"/>
      <sheetName val="TRANSPORTE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Dados_da_Obra"/>
    </sheetNames>
    <sheetDataSet>
      <sheetData sheetId="0">
        <row r="1">
          <cell r="A1" t="str">
            <v>CÓDIGO</v>
          </cell>
          <cell r="B1" t="str">
            <v>DESCRIÇÃO</v>
          </cell>
          <cell r="C1" t="str">
            <v>UNID.</v>
          </cell>
          <cell r="D1" t="str">
            <v>ESPECIFICAÇÃO</v>
          </cell>
          <cell r="E1" t="str">
            <v>CUSTO UNITÁRIO</v>
          </cell>
          <cell r="F1" t="str">
            <v>BDI</v>
          </cell>
          <cell r="G1" t="str">
            <v>PREÇO UNITÁRIO</v>
          </cell>
          <cell r="H1" t="str">
            <v>GRUPO</v>
          </cell>
        </row>
        <row r="3">
          <cell r="A3" t="str">
            <v>TERRAPLENAGEM</v>
          </cell>
        </row>
        <row r="4">
          <cell r="A4" t="str">
            <v>01.000.00</v>
          </cell>
          <cell r="B4" t="str">
            <v>DESMATAMENTO, DESTOC. E LIMPEZA ÁREA C/ ÁRVORES DE Ø ATÉ 0,15M</v>
          </cell>
          <cell r="C4" t="str">
            <v>m²</v>
          </cell>
          <cell r="D4" t="str">
            <v>DNER-ES-278/97</v>
          </cell>
          <cell r="E4">
            <v>0.11</v>
          </cell>
          <cell r="F4">
            <v>0.04</v>
          </cell>
          <cell r="G4">
            <v>0.15</v>
          </cell>
          <cell r="H4" t="str">
            <v>Terraplenagem</v>
          </cell>
        </row>
        <row r="5">
          <cell r="A5" t="str">
            <v>01.010.00</v>
          </cell>
          <cell r="B5" t="str">
            <v>DESTOCAMENTO DE ÁRVORES D=0,15 A 0,30M</v>
          </cell>
          <cell r="C5" t="str">
            <v>unid.</v>
          </cell>
          <cell r="D5" t="str">
            <v>DNER-ES-278/97</v>
          </cell>
          <cell r="E5">
            <v>10.27</v>
          </cell>
          <cell r="F5">
            <v>3.36</v>
          </cell>
          <cell r="G5">
            <v>13.629999999999999</v>
          </cell>
          <cell r="H5" t="str">
            <v>Terraplenagem</v>
          </cell>
        </row>
        <row r="6">
          <cell r="A6" t="str">
            <v>01.012.00</v>
          </cell>
          <cell r="B6" t="str">
            <v>DESTOCAMENTO DE ÁRVORES C/DIÂMETRO &gt;  0,30M</v>
          </cell>
          <cell r="C6" t="str">
            <v>unid.</v>
          </cell>
          <cell r="D6" t="str">
            <v>DNER-ES-278/97</v>
          </cell>
          <cell r="E6">
            <v>25.66</v>
          </cell>
          <cell r="F6">
            <v>8.39</v>
          </cell>
          <cell r="G6">
            <v>34.049999999999997</v>
          </cell>
          <cell r="H6" t="str">
            <v>Terraplenagem</v>
          </cell>
        </row>
        <row r="7">
          <cell r="A7" t="str">
            <v>01.100.01</v>
          </cell>
          <cell r="B7" t="str">
            <v>ESCAVAÇÃO, CARGA, TRANSPORTE MAT. 1ª CATEGORIA DMT=50M</v>
          </cell>
          <cell r="C7" t="str">
            <v>m³</v>
          </cell>
          <cell r="D7" t="str">
            <v>DNER-ES-281/97</v>
          </cell>
          <cell r="E7">
            <v>0.54</v>
          </cell>
          <cell r="F7">
            <v>0.18</v>
          </cell>
          <cell r="G7">
            <v>0.72</v>
          </cell>
          <cell r="H7" t="str">
            <v>Terraplenagem</v>
          </cell>
        </row>
        <row r="8">
          <cell r="A8" t="str">
            <v>01.100.02</v>
          </cell>
          <cell r="B8" t="str">
            <v>ESCAVAÇÃO, CARGA, TRANSPORTE MAT. 1ª CATEGORIA DMT=50M A 200M COM MOTOSCRAPER</v>
          </cell>
          <cell r="C8" t="str">
            <v>m³</v>
          </cell>
          <cell r="D8" t="str">
            <v>DNER-ES-280/97</v>
          </cell>
          <cell r="E8">
            <v>1.58</v>
          </cell>
          <cell r="F8">
            <v>0.52</v>
          </cell>
          <cell r="G8">
            <v>2.1</v>
          </cell>
          <cell r="H8" t="str">
            <v>Terraplenagem</v>
          </cell>
        </row>
        <row r="9">
          <cell r="A9" t="str">
            <v>01.100.03</v>
          </cell>
          <cell r="B9" t="str">
            <v>ESCAVAÇÃO, CARGA, TRANSPORTE MAT. 1ª CATEGORIA DMT=200M A 400M COM MOTOSCRAPER</v>
          </cell>
          <cell r="C9" t="str">
            <v>m³</v>
          </cell>
          <cell r="D9" t="str">
            <v>DNER-ES-280/97</v>
          </cell>
          <cell r="E9">
            <v>1.9</v>
          </cell>
          <cell r="F9">
            <v>0.62</v>
          </cell>
          <cell r="G9">
            <v>2.52</v>
          </cell>
          <cell r="H9" t="str">
            <v>Terraplenagem</v>
          </cell>
        </row>
        <row r="10">
          <cell r="A10" t="str">
            <v>01.100.04</v>
          </cell>
          <cell r="B10" t="str">
            <v>ESCAVAÇÃO, CARGA, TRANSPORTE MAT. 1ª CATEGORIA DMT=400M A 600M COM MOTOSCRAPER</v>
          </cell>
          <cell r="C10" t="str">
            <v>m³</v>
          </cell>
          <cell r="D10" t="str">
            <v>DNER-ES-280/97</v>
          </cell>
          <cell r="E10">
            <v>2.2400000000000002</v>
          </cell>
          <cell r="F10">
            <v>0.73</v>
          </cell>
          <cell r="G10">
            <v>2.97</v>
          </cell>
          <cell r="H10" t="str">
            <v>Terraplenagem</v>
          </cell>
        </row>
        <row r="11">
          <cell r="A11" t="str">
            <v>01.100.05</v>
          </cell>
          <cell r="B11" t="str">
            <v>ESCAVAÇÃO, CARGA, TRANSPORTE MAT. 1ª CATEGORIA DMT=600M A 800M COM MOTOSCRAPER</v>
          </cell>
          <cell r="C11" t="str">
            <v>m³</v>
          </cell>
          <cell r="D11" t="str">
            <v>DNER-ES-280/97</v>
          </cell>
          <cell r="E11">
            <v>2.54</v>
          </cell>
          <cell r="F11">
            <v>0.83</v>
          </cell>
          <cell r="G11">
            <v>3.37</v>
          </cell>
          <cell r="H11" t="str">
            <v>Terraplenagem</v>
          </cell>
        </row>
        <row r="12">
          <cell r="A12" t="str">
            <v>01.100.06</v>
          </cell>
          <cell r="B12" t="str">
            <v>ESCAVAÇÃO, CARGA, TRANSPORTE MAT. 1ª CATEGORIA DMT=800M A 1000M COM MOTOSCRAPER</v>
          </cell>
          <cell r="C12" t="str">
            <v>m³</v>
          </cell>
          <cell r="D12" t="str">
            <v>DNER-ES-280/97</v>
          </cell>
          <cell r="E12">
            <v>2.92</v>
          </cell>
          <cell r="F12">
            <v>0.95</v>
          </cell>
          <cell r="G12">
            <v>3.87</v>
          </cell>
          <cell r="H12" t="str">
            <v>Terraplenagem</v>
          </cell>
        </row>
        <row r="13">
          <cell r="A13" t="str">
            <v>01.100.07</v>
          </cell>
          <cell r="B13" t="str">
            <v>ESCAVAÇÃO, CARGA, TRANSPORTE MAT. 1ª CATEGORIA DMT=1000M A 1200M COM MOTOSCRAPER</v>
          </cell>
          <cell r="C13" t="str">
            <v>m³</v>
          </cell>
          <cell r="D13" t="str">
            <v>DNER-ES-280/97</v>
          </cell>
          <cell r="E13">
            <v>3.32</v>
          </cell>
          <cell r="F13">
            <v>1.08</v>
          </cell>
          <cell r="G13">
            <v>4.4000000000000004</v>
          </cell>
          <cell r="H13" t="str">
            <v>Terraplenagem</v>
          </cell>
        </row>
        <row r="14">
          <cell r="A14" t="str">
            <v>01.100.11</v>
          </cell>
          <cell r="B14" t="str">
            <v>ESCAVAÇÃO, CARGA, TRANSPORTE MAT. 1ª CATEGORIA DMT=400M A 600M COM CAMINHÃO BASCULANTE</v>
          </cell>
          <cell r="C14" t="str">
            <v>m³</v>
          </cell>
          <cell r="D14" t="str">
            <v>DNER-ES-280/97</v>
          </cell>
          <cell r="E14">
            <v>2.0099999999999998</v>
          </cell>
          <cell r="F14">
            <v>0.66</v>
          </cell>
          <cell r="G14">
            <v>2.67</v>
          </cell>
          <cell r="H14" t="str">
            <v>Terraplenagem</v>
          </cell>
        </row>
        <row r="15">
          <cell r="A15" t="str">
            <v>01.100.15</v>
          </cell>
          <cell r="B15" t="str">
            <v>ESCAVAÇÃO, CARGA, TRANSPORTE MAT. 1ª CATEGORIA DMT=1200M A 1400M COM CAMINHÃO BASCULANTE</v>
          </cell>
          <cell r="C15" t="str">
            <v>m³</v>
          </cell>
          <cell r="D15" t="str">
            <v>DNER-ES-280/97</v>
          </cell>
          <cell r="E15">
            <v>2.4900000000000002</v>
          </cell>
          <cell r="F15">
            <v>0.81</v>
          </cell>
          <cell r="G15">
            <v>3.3000000000000003</v>
          </cell>
          <cell r="H15" t="str">
            <v>Terraplenagem</v>
          </cell>
        </row>
        <row r="16">
          <cell r="A16" t="str">
            <v>01.100.16</v>
          </cell>
          <cell r="B16" t="str">
            <v>ESCAVAÇÃO, CARGA, TRANSPORTE MAT. 1ª CATEGORIA DMT=1400M A 1600M COM CAMINHÃO BASCULANTE</v>
          </cell>
          <cell r="C16" t="str">
            <v>m³</v>
          </cell>
          <cell r="D16" t="str">
            <v>DNER-ES-280/97</v>
          </cell>
          <cell r="E16">
            <v>2.57</v>
          </cell>
          <cell r="F16">
            <v>0.84</v>
          </cell>
          <cell r="G16">
            <v>3.4099999999999997</v>
          </cell>
          <cell r="H16" t="str">
            <v>Terraplenagem</v>
          </cell>
        </row>
        <row r="17">
          <cell r="A17" t="str">
            <v>01.100.17</v>
          </cell>
          <cell r="B17" t="str">
            <v>ESCAVAÇÃO, CARGA, TRANSPORTE MAT. 1ª CATEGORIA DMT=1600M A 1800M COM CAMINHÃO BASCULANTE</v>
          </cell>
          <cell r="C17" t="str">
            <v>m³</v>
          </cell>
          <cell r="D17" t="str">
            <v>DNER-ES-280/97</v>
          </cell>
          <cell r="E17">
            <v>2.63</v>
          </cell>
          <cell r="F17">
            <v>0.86</v>
          </cell>
          <cell r="G17">
            <v>3.4899999999999998</v>
          </cell>
          <cell r="H17" t="str">
            <v>Terraplenagem</v>
          </cell>
        </row>
        <row r="18">
          <cell r="A18" t="str">
            <v>01.100.18</v>
          </cell>
          <cell r="B18" t="str">
            <v>ESCAVAÇÃO, CARGA, TRANSPORTE MAT. 1ª CATEGORIA DMT=1800M A 2000M COM CAMINHÃO BASCULANTE</v>
          </cell>
          <cell r="C18" t="str">
            <v>m³</v>
          </cell>
          <cell r="D18" t="str">
            <v>DNER-ES-280/97</v>
          </cell>
          <cell r="E18">
            <v>2.77</v>
          </cell>
          <cell r="F18">
            <v>0.91</v>
          </cell>
          <cell r="G18">
            <v>3.68</v>
          </cell>
          <cell r="H18" t="str">
            <v>Terraplenagem</v>
          </cell>
        </row>
        <row r="19">
          <cell r="A19" t="str">
            <v>01.100.19</v>
          </cell>
          <cell r="B19" t="str">
            <v>ESCAVAÇÃO, CARGA, TRANSPORTE MAT. 1ª CATEGORIA DMT=2000M A 3000M COM CAMINHÃO BASCULANTE</v>
          </cell>
          <cell r="C19" t="str">
            <v>m³</v>
          </cell>
          <cell r="D19" t="str">
            <v>DNER-ES-280/97</v>
          </cell>
          <cell r="E19">
            <v>3.1</v>
          </cell>
          <cell r="F19">
            <v>1.01</v>
          </cell>
          <cell r="G19">
            <v>4.1100000000000003</v>
          </cell>
          <cell r="H19" t="str">
            <v>Terraplenagem</v>
          </cell>
        </row>
        <row r="20">
          <cell r="A20" t="str">
            <v>01.100.20</v>
          </cell>
          <cell r="B20" t="str">
            <v>ESCAVAÇÃO, CARGA, TRANSPORTE MAT. 1ª CATEGORIA DMT=3000M A 5000M COM CAMINHÃO BASCULANTE</v>
          </cell>
          <cell r="C20" t="str">
            <v>m³</v>
          </cell>
          <cell r="D20" t="str">
            <v>DNER-ES-280/97</v>
          </cell>
          <cell r="E20">
            <v>4</v>
          </cell>
          <cell r="F20">
            <v>1.31</v>
          </cell>
          <cell r="G20">
            <v>5.3100000000000005</v>
          </cell>
          <cell r="H20" t="str">
            <v>Terraplenagem</v>
          </cell>
        </row>
        <row r="21">
          <cell r="A21" t="str">
            <v>01.100.50</v>
          </cell>
          <cell r="B21" t="str">
            <v>ESCAVAÇÃO, CARGA, TRANSPORTE MAT. 1ª CATEGORIA DMT&gt;5000M COM CAMINHÃO BASCULANTE</v>
          </cell>
          <cell r="C21" t="str">
            <v>m³</v>
          </cell>
          <cell r="D21" t="str">
            <v>DNER-ES-280/97</v>
          </cell>
          <cell r="E21">
            <v>4.3499999999999996</v>
          </cell>
          <cell r="F21">
            <v>1.42</v>
          </cell>
          <cell r="G21">
            <v>5.77</v>
          </cell>
          <cell r="H21" t="str">
            <v>Terraplenagem</v>
          </cell>
        </row>
        <row r="22">
          <cell r="A22" t="str">
            <v>01.101.01</v>
          </cell>
          <cell r="B22" t="str">
            <v>ESCAVAÇÃO, CARGA, TRANSPORTE MAT. 2ª CATEGORIA DMT=50M</v>
          </cell>
          <cell r="C22" t="str">
            <v>m³</v>
          </cell>
          <cell r="D22" t="str">
            <v>DNER-ES-280/97</v>
          </cell>
          <cell r="E22">
            <v>1.1499999999999999</v>
          </cell>
          <cell r="F22">
            <v>0.38</v>
          </cell>
          <cell r="G22">
            <v>1.5299999999999998</v>
          </cell>
          <cell r="H22" t="str">
            <v>Terraplenagem</v>
          </cell>
        </row>
        <row r="23">
          <cell r="A23" t="str">
            <v>01.101.02</v>
          </cell>
          <cell r="B23" t="str">
            <v>ESCAVAÇÃO, CARGA, TRANSPORTE MAT. 2ª CATEGORIA DMT=50 A 200M COM MOTOSCRAPER</v>
          </cell>
          <cell r="C23" t="str">
            <v>m³</v>
          </cell>
          <cell r="D23" t="str">
            <v>DNER-ES-280/97</v>
          </cell>
          <cell r="E23">
            <v>2.73</v>
          </cell>
          <cell r="F23">
            <v>0.89</v>
          </cell>
          <cell r="G23">
            <v>3.62</v>
          </cell>
          <cell r="H23" t="str">
            <v>Terraplenagem</v>
          </cell>
        </row>
        <row r="24">
          <cell r="A24" t="str">
            <v>01.101.03</v>
          </cell>
          <cell r="B24" t="str">
            <v>ESCAVAÇÃO, CARGA, TRANSPORTE MAT. 2ª CATEGORIA DMT=200 A 400M COM MOTOSCRAPER</v>
          </cell>
          <cell r="C24" t="str">
            <v>m³</v>
          </cell>
          <cell r="D24" t="str">
            <v>DNER-ES-280/97</v>
          </cell>
          <cell r="E24">
            <v>2.75</v>
          </cell>
          <cell r="F24">
            <v>0.9</v>
          </cell>
          <cell r="G24">
            <v>3.65</v>
          </cell>
          <cell r="H24" t="str">
            <v>Terraplenagem</v>
          </cell>
        </row>
        <row r="25">
          <cell r="A25" t="str">
            <v>01.101.04</v>
          </cell>
          <cell r="B25" t="str">
            <v>ESCAVAÇÃO, CARGA, TRANSPORTE MAT. 2ª CATEGORIA DMT=400 A 600M COM MOTOSCRAPER</v>
          </cell>
          <cell r="C25" t="str">
            <v>m³</v>
          </cell>
          <cell r="D25" t="str">
            <v>DNER-ES-280/97</v>
          </cell>
          <cell r="E25">
            <v>3.31</v>
          </cell>
          <cell r="F25">
            <v>1.08</v>
          </cell>
          <cell r="G25">
            <v>4.3900000000000006</v>
          </cell>
          <cell r="H25" t="str">
            <v>Terraplenagem</v>
          </cell>
        </row>
        <row r="26">
          <cell r="A26" t="str">
            <v>01.101.05</v>
          </cell>
          <cell r="B26" t="str">
            <v>ESCAVAÇÃO, CARGA, TRANSPORTE MAT. 2ª CATEGORIA DMT=600 A 800M COM MOTOSCRAPER</v>
          </cell>
          <cell r="C26" t="str">
            <v>m³</v>
          </cell>
          <cell r="D26" t="str">
            <v>DNER-ES-280/97</v>
          </cell>
          <cell r="E26">
            <v>3.87</v>
          </cell>
          <cell r="F26">
            <v>1.26</v>
          </cell>
          <cell r="G26">
            <v>5.13</v>
          </cell>
          <cell r="H26" t="str">
            <v>Terraplenagem</v>
          </cell>
        </row>
        <row r="27">
          <cell r="A27" t="str">
            <v>01.101.06</v>
          </cell>
          <cell r="B27" t="str">
            <v>ESCAVAÇÃO, CARGA, TRANSPORTE MAT. 2ª CATEGORIA DMT=800 A 1000M COM MOTOSCRAPER</v>
          </cell>
          <cell r="C27" t="str">
            <v>m³</v>
          </cell>
          <cell r="D27" t="str">
            <v>DNER-ES-280/97</v>
          </cell>
          <cell r="E27">
            <v>4.43</v>
          </cell>
          <cell r="F27">
            <v>1.45</v>
          </cell>
          <cell r="G27">
            <v>5.88</v>
          </cell>
          <cell r="H27" t="str">
            <v>Terraplenagem</v>
          </cell>
        </row>
        <row r="28">
          <cell r="A28" t="str">
            <v>01.101.07</v>
          </cell>
          <cell r="B28" t="str">
            <v>ESCAVAÇÃO, CARGA, TRANSPORTE MAT. 2ª CATEGORIA DMT=1000 A 1200M COM MOTOSCRAPER</v>
          </cell>
          <cell r="C28" t="str">
            <v>m³</v>
          </cell>
          <cell r="D28" t="str">
            <v>DNER-ES-280/97</v>
          </cell>
          <cell r="E28">
            <v>4.43</v>
          </cell>
          <cell r="F28">
            <v>1.45</v>
          </cell>
          <cell r="G28">
            <v>5.88</v>
          </cell>
          <cell r="H28" t="str">
            <v>Terraplenagem</v>
          </cell>
        </row>
        <row r="29">
          <cell r="A29" t="str">
            <v>01.101.08</v>
          </cell>
          <cell r="B29" t="str">
            <v>ESCAVAÇÃO, CARGA, TRANSPORTE MAT. 2ª CATEGORIA DMT=1200 A 1400M COM MOTOSCRAPER</v>
          </cell>
          <cell r="C29" t="str">
            <v>m³</v>
          </cell>
          <cell r="D29" t="str">
            <v>DNER-ES-280/97</v>
          </cell>
          <cell r="E29">
            <v>5</v>
          </cell>
          <cell r="F29">
            <v>1.63</v>
          </cell>
          <cell r="G29">
            <v>6.63</v>
          </cell>
          <cell r="H29" t="str">
            <v>Terraplenagem</v>
          </cell>
        </row>
        <row r="30">
          <cell r="A30" t="str">
            <v>01.101.10</v>
          </cell>
          <cell r="B30" t="str">
            <v>ESCAVAÇÃO, CARGA, TRANSPORTE MAT. 2ª CATEGORIA DMT=1600 A 1800M COM MOTOSCRAPER</v>
          </cell>
          <cell r="C30" t="str">
            <v>m³</v>
          </cell>
          <cell r="D30" t="str">
            <v>DNER-ES-280/97</v>
          </cell>
          <cell r="E30">
            <v>3.04</v>
          </cell>
          <cell r="F30">
            <v>0.99</v>
          </cell>
          <cell r="G30">
            <v>4.03</v>
          </cell>
          <cell r="H30" t="str">
            <v>Terraplenagem</v>
          </cell>
        </row>
        <row r="31">
          <cell r="A31" t="str">
            <v>01.102.01</v>
          </cell>
          <cell r="B31" t="str">
            <v>ESCAVAÇÃO, CARGA, TRANSPORTE MAT. 3ª CATEGORIA DMT=50M</v>
          </cell>
          <cell r="C31" t="str">
            <v>m³</v>
          </cell>
          <cell r="D31" t="str">
            <v>DNER-ES-280/97</v>
          </cell>
          <cell r="E31">
            <v>9.1548099999999994</v>
          </cell>
          <cell r="F31">
            <v>2.99</v>
          </cell>
          <cell r="G31">
            <v>12.14481</v>
          </cell>
          <cell r="H31" t="str">
            <v>Terraplenagem</v>
          </cell>
        </row>
        <row r="32">
          <cell r="A32" t="str">
            <v>01.102.02</v>
          </cell>
          <cell r="B32" t="str">
            <v>ESCAVAÇÃO, CARGA, TRANSPORTE MAT. 3ª CATEGORIA DMT=50 A 200M COM CAMINHÃO BASCULANTE</v>
          </cell>
          <cell r="C32" t="str">
            <v>m³</v>
          </cell>
          <cell r="D32" t="str">
            <v>DNER-ES-280/97</v>
          </cell>
          <cell r="E32">
            <v>10.31481</v>
          </cell>
          <cell r="F32">
            <v>3.37</v>
          </cell>
          <cell r="G32">
            <v>13.684809999999999</v>
          </cell>
          <cell r="H32" t="str">
            <v>Terraplenagem</v>
          </cell>
        </row>
        <row r="33">
          <cell r="A33" t="str">
            <v>01.102.03</v>
          </cell>
          <cell r="B33" t="str">
            <v>ESCAVAÇÃO, CARGA, TRANSPORTE MAT. 3ª CATEGORIA DMT=200 A 400M COM CAMINHÃO BASCULANTE</v>
          </cell>
          <cell r="C33" t="str">
            <v>m³</v>
          </cell>
          <cell r="D33" t="str">
            <v>DNER-ES-280/97</v>
          </cell>
          <cell r="E33">
            <v>10.55481</v>
          </cell>
          <cell r="F33">
            <v>3.45</v>
          </cell>
          <cell r="G33">
            <v>14.004809999999999</v>
          </cell>
          <cell r="H33" t="str">
            <v>Terraplenagem</v>
          </cell>
        </row>
        <row r="34">
          <cell r="A34" t="str">
            <v>01.102.04</v>
          </cell>
          <cell r="B34" t="str">
            <v>ESCAVAÇÃO, CARGA, TRANSPORTE MAT. 3ª CATEGORIA DMT=400 A 600M COM CAMINHÃO BASCULANTE</v>
          </cell>
          <cell r="C34" t="str">
            <v>m³</v>
          </cell>
          <cell r="D34" t="str">
            <v>DNER-ES-280/97</v>
          </cell>
          <cell r="E34">
            <v>10.914809999999999</v>
          </cell>
          <cell r="F34">
            <v>3.57</v>
          </cell>
          <cell r="G34">
            <v>14.48481</v>
          </cell>
          <cell r="H34" t="str">
            <v>Terraplenagem</v>
          </cell>
        </row>
        <row r="35">
          <cell r="A35" t="str">
            <v>01.102.05</v>
          </cell>
          <cell r="B35" t="str">
            <v>ESCAVAÇÃO, CARGA, TRANSPORTE MAT. 3ª CATEGORIA DMT=600 A 800M COM CAMINHÃO BASCULANTE</v>
          </cell>
          <cell r="C35" t="str">
            <v>m³</v>
          </cell>
          <cell r="D35" t="str">
            <v>DNER-ES-280/97</v>
          </cell>
          <cell r="E35">
            <v>11.154809999999999</v>
          </cell>
          <cell r="F35">
            <v>3.65</v>
          </cell>
          <cell r="G35">
            <v>14.80481</v>
          </cell>
          <cell r="H35" t="str">
            <v>Terraplenagem</v>
          </cell>
        </row>
        <row r="36">
          <cell r="A36" t="str">
            <v>01.102.06</v>
          </cell>
          <cell r="B36" t="str">
            <v>ESCAVAÇÃO, CARGA, TRANSPORTE MAT. 3ª CATEGORIA DMT=800 A 1000M COM CAMINHÃO BASCULANTE</v>
          </cell>
          <cell r="C36" t="str">
            <v>m³</v>
          </cell>
          <cell r="D36" t="str">
            <v>DNER-ES-280/97</v>
          </cell>
          <cell r="E36">
            <v>11.38481</v>
          </cell>
          <cell r="F36">
            <v>3.72</v>
          </cell>
          <cell r="G36">
            <v>15.104810000000001</v>
          </cell>
          <cell r="H36" t="str">
            <v>Terraplenagem</v>
          </cell>
        </row>
        <row r="37">
          <cell r="A37" t="str">
            <v>01.102.07</v>
          </cell>
          <cell r="B37" t="str">
            <v>ESCAVAÇÃO, CARGA, TRANSPORTE MAT. 3ª CATEGORIA DMT=1000 A 1200M COM CAMINHÃO BASCULANTE</v>
          </cell>
          <cell r="C37" t="str">
            <v>m³</v>
          </cell>
          <cell r="D37" t="str">
            <v>DNER-ES-280/97</v>
          </cell>
          <cell r="E37">
            <v>11.494810000000001</v>
          </cell>
          <cell r="F37">
            <v>3.76</v>
          </cell>
          <cell r="G37">
            <v>15.254810000000001</v>
          </cell>
          <cell r="H37" t="str">
            <v>Terraplenagem</v>
          </cell>
        </row>
        <row r="38">
          <cell r="A38" t="str">
            <v>01.102.08</v>
          </cell>
          <cell r="B38" t="str">
            <v>ESCAVAÇÃO, CARGA, TRANSPORTE MAT. 3ª CATEGORIA DMT=1200 A 1400M COM CAMINHÃO BASCULANTE</v>
          </cell>
          <cell r="C38" t="str">
            <v>m³</v>
          </cell>
          <cell r="D38" t="str">
            <v>DNER-ES-280/97</v>
          </cell>
          <cell r="E38">
            <v>11.69481</v>
          </cell>
          <cell r="F38">
            <v>3.82</v>
          </cell>
          <cell r="G38">
            <v>15.514810000000001</v>
          </cell>
          <cell r="H38" t="str">
            <v>Terraplenagem</v>
          </cell>
        </row>
        <row r="39">
          <cell r="A39" t="str">
            <v>01.102.10</v>
          </cell>
          <cell r="B39" t="str">
            <v>ESCAVAÇÃO, CARGA, TRANSPORTE MAT. 3ª CATEGORIA DMT=1600 A 1800M COM CAMINHÃO BASCULANTE</v>
          </cell>
          <cell r="C39" t="str">
            <v>m³</v>
          </cell>
          <cell r="D39" t="str">
            <v>DNER-ES-280/97</v>
          </cell>
          <cell r="E39">
            <v>11.994810000000001</v>
          </cell>
          <cell r="F39">
            <v>3.92</v>
          </cell>
          <cell r="G39">
            <v>15.914810000000001</v>
          </cell>
          <cell r="H39" t="str">
            <v>Terraplenagem</v>
          </cell>
        </row>
        <row r="40">
          <cell r="A40" t="str">
            <v>01.102.12</v>
          </cell>
          <cell r="B40" t="str">
            <v>ESCAVAÇÃO, CARGA, TRANSPORTE MAT. 3ª CATEGORIA DMT=2000 A 3000M COM CAMINHÃO BASCULANTE</v>
          </cell>
          <cell r="C40" t="str">
            <v>m³</v>
          </cell>
          <cell r="D40" t="str">
            <v>DNER-ES-280/97</v>
          </cell>
          <cell r="E40">
            <v>12.164809999999999</v>
          </cell>
          <cell r="F40">
            <v>3.98</v>
          </cell>
          <cell r="G40">
            <v>16.14481</v>
          </cell>
          <cell r="H40" t="str">
            <v>Terraplenagem</v>
          </cell>
        </row>
        <row r="41">
          <cell r="A41" t="str">
            <v>01.102.13</v>
          </cell>
          <cell r="B41" t="str">
            <v>ESCAVAÇÃO, CARGA, TRANSPORTE MAT. 3ª CATEGORIA DMT=3000 A 5000M COM CAMINHÃO BASCULANTE</v>
          </cell>
          <cell r="C41" t="str">
            <v>m³</v>
          </cell>
          <cell r="D41" t="str">
            <v>DNER-ES-280/97</v>
          </cell>
          <cell r="E41">
            <v>12.36481</v>
          </cell>
          <cell r="F41">
            <v>4.04</v>
          </cell>
          <cell r="G41">
            <v>16.404810000000001</v>
          </cell>
          <cell r="H41" t="str">
            <v>Terraplenagem</v>
          </cell>
        </row>
        <row r="42">
          <cell r="A42" t="str">
            <v>01.300.01</v>
          </cell>
          <cell r="B42" t="str">
            <v>ESCAVAÇÃO CARGA TRANSPORTE DE SOLOS MOLES DMT 0 A 200M</v>
          </cell>
          <cell r="C42" t="str">
            <v>m³</v>
          </cell>
          <cell r="D42" t="str">
            <v>DNER-ES-280/97</v>
          </cell>
          <cell r="E42">
            <v>5.26</v>
          </cell>
          <cell r="F42">
            <v>1.72</v>
          </cell>
          <cell r="G42">
            <v>6.9799999999999995</v>
          </cell>
          <cell r="H42" t="str">
            <v>Terraplenagem</v>
          </cell>
        </row>
        <row r="43">
          <cell r="A43" t="str">
            <v>01.300.02</v>
          </cell>
          <cell r="B43" t="str">
            <v>ESCAVAÇÃO CARGA TRANSPORTE DE SOLOS MOLES DMT 200 A 400M</v>
          </cell>
          <cell r="C43" t="str">
            <v>m³</v>
          </cell>
          <cell r="D43" t="str">
            <v>DNER-ES-280/97</v>
          </cell>
          <cell r="E43">
            <v>5.65</v>
          </cell>
          <cell r="F43">
            <v>1.85</v>
          </cell>
          <cell r="G43">
            <v>7.5</v>
          </cell>
          <cell r="H43" t="str">
            <v>Terraplenagem</v>
          </cell>
        </row>
        <row r="44">
          <cell r="A44" t="str">
            <v>01.300.03</v>
          </cell>
          <cell r="B44" t="str">
            <v>ESCAVAÇÃO CARGA TRANSPORTE DE SOLOS MOLES DMT 400 A 600M</v>
          </cell>
          <cell r="C44" t="str">
            <v>m³</v>
          </cell>
          <cell r="D44" t="str">
            <v>DNER-ES-280/97</v>
          </cell>
          <cell r="E44">
            <v>5.81</v>
          </cell>
          <cell r="F44">
            <v>1.9</v>
          </cell>
          <cell r="G44">
            <v>7.7099999999999991</v>
          </cell>
          <cell r="H44" t="str">
            <v>Terraplenagem</v>
          </cell>
        </row>
        <row r="45">
          <cell r="A45" t="str">
            <v>01.300.04</v>
          </cell>
          <cell r="B45" t="str">
            <v>ESCAVAÇÃO CARGA TRANSPORTE DE SOLOS MOLES DMT 600 A 800M</v>
          </cell>
          <cell r="C45" t="str">
            <v>m³</v>
          </cell>
          <cell r="D45" t="str">
            <v>DNER-ES-280/97</v>
          </cell>
          <cell r="E45">
            <v>6</v>
          </cell>
          <cell r="F45">
            <v>1.96</v>
          </cell>
          <cell r="G45">
            <v>7.96</v>
          </cell>
          <cell r="H45" t="str">
            <v>Terraplenagem</v>
          </cell>
        </row>
        <row r="46">
          <cell r="A46" t="str">
            <v>01.300.05</v>
          </cell>
          <cell r="B46" t="str">
            <v>ESCAVAÇÃO CARGA TRANSPORTE DE SOLOS MOLES DMT 800 A 1000M</v>
          </cell>
          <cell r="C46" t="str">
            <v>m³</v>
          </cell>
          <cell r="D46" t="str">
            <v>DNER-ES-280/97</v>
          </cell>
          <cell r="E46">
            <v>6.39</v>
          </cell>
          <cell r="F46">
            <v>2.09</v>
          </cell>
          <cell r="G46">
            <v>8.48</v>
          </cell>
          <cell r="H46" t="str">
            <v>Terraplenagem</v>
          </cell>
        </row>
        <row r="47">
          <cell r="A47" t="str">
            <v>01.300.08</v>
          </cell>
          <cell r="B47" t="str">
            <v>ESCAVAÇÃO CARGA TRANSPORTE DE SOLOS MOLES DMT 1400 A 1600M</v>
          </cell>
          <cell r="C47" t="str">
            <v>m³</v>
          </cell>
          <cell r="D47" t="str">
            <v>DNER-ES-280/97</v>
          </cell>
          <cell r="E47">
            <v>6.94</v>
          </cell>
          <cell r="F47">
            <v>2.27</v>
          </cell>
          <cell r="G47">
            <v>9.2100000000000009</v>
          </cell>
          <cell r="H47" t="str">
            <v>Terraplenagem</v>
          </cell>
        </row>
        <row r="48">
          <cell r="A48" t="str">
            <v>01.300.09</v>
          </cell>
          <cell r="B48" t="str">
            <v>ESCAVAÇÃO CARGA TRANSPORTE DE SOLOS MOLES DMT 1600 A 1800M</v>
          </cell>
          <cell r="C48" t="str">
            <v>m³</v>
          </cell>
          <cell r="D48" t="str">
            <v>DNER-ES-280/97</v>
          </cell>
          <cell r="E48">
            <v>7.12</v>
          </cell>
          <cell r="F48">
            <v>2.33</v>
          </cell>
          <cell r="G48">
            <v>9.4499999999999993</v>
          </cell>
          <cell r="H48" t="str">
            <v>Terraplenagem</v>
          </cell>
        </row>
        <row r="49">
          <cell r="A49" t="str">
            <v>01.300.11</v>
          </cell>
          <cell r="B49" t="str">
            <v>ESCAVAÇÃO CARGA TRANSPORTE DE SOLOS MOLES DMT 2000 A 3000M</v>
          </cell>
          <cell r="C49" t="str">
            <v>m³</v>
          </cell>
          <cell r="D49" t="str">
            <v>DNER-ES-280/97</v>
          </cell>
          <cell r="E49">
            <v>7.77</v>
          </cell>
          <cell r="F49">
            <v>2.54</v>
          </cell>
          <cell r="G49">
            <v>10.309999999999999</v>
          </cell>
          <cell r="H49" t="str">
            <v>Terraplenagem</v>
          </cell>
        </row>
        <row r="50">
          <cell r="A50" t="str">
            <v>01.510.00</v>
          </cell>
          <cell r="B50" t="str">
            <v>COMPACTAÇÃO DE ATERROS A 95% DO PROCTOR NORMAL</v>
          </cell>
          <cell r="C50" t="str">
            <v>m³</v>
          </cell>
          <cell r="D50" t="str">
            <v>DNER-ES-282/97</v>
          </cell>
          <cell r="E50">
            <v>0.8</v>
          </cell>
          <cell r="F50">
            <v>0.26</v>
          </cell>
          <cell r="G50">
            <v>1.06</v>
          </cell>
          <cell r="H50" t="str">
            <v>Terraplenagem</v>
          </cell>
        </row>
        <row r="51">
          <cell r="A51" t="str">
            <v>01.511.00</v>
          </cell>
          <cell r="B51" t="str">
            <v>COMPACTAÇÃO DE ATERROS A 100% DO PROCTOR NORMAL</v>
          </cell>
          <cell r="C51" t="str">
            <v>m³</v>
          </cell>
          <cell r="D51" t="str">
            <v>DNER-ES-282/97</v>
          </cell>
          <cell r="E51">
            <v>0.95</v>
          </cell>
          <cell r="F51">
            <v>0.31</v>
          </cell>
          <cell r="G51">
            <v>1.26</v>
          </cell>
          <cell r="H51" t="str">
            <v>Terraplenagem</v>
          </cell>
        </row>
        <row r="52">
          <cell r="A52" t="str">
            <v>10.000.01</v>
          </cell>
          <cell r="B52" t="str">
            <v>CAMADA DRENANTE (AREIA) PARA FUNDAÇÃO EM ATERROS</v>
          </cell>
          <cell r="C52" t="str">
            <v>m³</v>
          </cell>
          <cell r="D52" t="str">
            <v>DNER-ES-282/98</v>
          </cell>
          <cell r="E52">
            <v>41</v>
          </cell>
          <cell r="F52">
            <v>13.4</v>
          </cell>
          <cell r="G52">
            <v>54.4</v>
          </cell>
          <cell r="H52" t="str">
            <v>Terraplenagem</v>
          </cell>
        </row>
        <row r="53">
          <cell r="A53" t="str">
            <v>DRENAGEM</v>
          </cell>
        </row>
        <row r="54">
          <cell r="A54" t="str">
            <v>04.000.00</v>
          </cell>
          <cell r="B54" t="str">
            <v>ESCAVAÇÃO MANUAL DE MATERIAL DE 1ª CATEGORIA</v>
          </cell>
          <cell r="C54" t="str">
            <v>m³</v>
          </cell>
          <cell r="D54" t="str">
            <v>DNER-ES-280/97</v>
          </cell>
          <cell r="E54">
            <v>15.54</v>
          </cell>
          <cell r="F54">
            <v>5.08</v>
          </cell>
          <cell r="G54">
            <v>20.619999999999997</v>
          </cell>
          <cell r="H54" t="str">
            <v>Drenagem</v>
          </cell>
        </row>
        <row r="55">
          <cell r="A55" t="str">
            <v>04.001.00</v>
          </cell>
          <cell r="B55" t="str">
            <v>ESCAVAÇÃO MECÂNICA DE VALA EM MATERIAL DE 1ª CATEGORIA</v>
          </cell>
          <cell r="C55" t="str">
            <v>m³</v>
          </cell>
          <cell r="D55" t="str">
            <v>DNER-ES-334/97</v>
          </cell>
          <cell r="E55">
            <v>1.78</v>
          </cell>
          <cell r="F55">
            <v>0.57999999999999996</v>
          </cell>
          <cell r="G55">
            <v>2.36</v>
          </cell>
          <cell r="H55" t="str">
            <v>Drenagem</v>
          </cell>
        </row>
        <row r="56">
          <cell r="A56" t="str">
            <v>04.001.01</v>
          </cell>
          <cell r="B56" t="str">
            <v>ESCAVAÇÃO MECÂNICA REAT. E COMP. VALA MATERIAL 1ª CATEGORIA</v>
          </cell>
          <cell r="C56" t="str">
            <v>m³</v>
          </cell>
          <cell r="D56" t="str">
            <v>DNER-ES-334/97</v>
          </cell>
          <cell r="E56">
            <v>3.06</v>
          </cell>
          <cell r="F56">
            <v>1</v>
          </cell>
          <cell r="G56">
            <v>4.0600000000000005</v>
          </cell>
          <cell r="H56" t="str">
            <v>Drenagem</v>
          </cell>
        </row>
        <row r="57">
          <cell r="A57" t="str">
            <v>04.011.00</v>
          </cell>
          <cell r="B57" t="str">
            <v>ESCAVAÇÃO MECÂNICA DE VALA EM MATERIAL DE 2ª CATEGORIA</v>
          </cell>
          <cell r="C57" t="str">
            <v>m³</v>
          </cell>
          <cell r="D57" t="str">
            <v>DNER-ES-280/97</v>
          </cell>
          <cell r="E57">
            <v>2.13</v>
          </cell>
          <cell r="F57">
            <v>0.7</v>
          </cell>
          <cell r="G57">
            <v>2.83</v>
          </cell>
          <cell r="H57" t="str">
            <v>Drenagem</v>
          </cell>
        </row>
        <row r="58">
          <cell r="A58" t="str">
            <v>04.011.01</v>
          </cell>
          <cell r="B58" t="str">
            <v>ESCAVAÇÃO MECÂNICA REAT. E COMP. VALA MATERIAL 2ª CATEGORIA</v>
          </cell>
          <cell r="C58" t="str">
            <v>m³</v>
          </cell>
          <cell r="D58" t="str">
            <v>DNER-ES-334/97</v>
          </cell>
          <cell r="E58">
            <v>3.68</v>
          </cell>
          <cell r="F58">
            <v>1.2</v>
          </cell>
          <cell r="G58">
            <v>4.88</v>
          </cell>
          <cell r="H58" t="str">
            <v>Drenagem</v>
          </cell>
        </row>
        <row r="59">
          <cell r="A59" t="str">
            <v>04.400.01</v>
          </cell>
          <cell r="B59" t="str">
            <v>VALETA DE PROTEÇÃO DE CORTES C/ REVEST. VEGETAL - VPC 01</v>
          </cell>
          <cell r="C59" t="str">
            <v>m</v>
          </cell>
          <cell r="D59" t="str">
            <v>DNER-ES-288/97</v>
          </cell>
          <cell r="E59">
            <v>27.73</v>
          </cell>
          <cell r="F59">
            <v>9.06</v>
          </cell>
          <cell r="G59">
            <v>36.79</v>
          </cell>
          <cell r="H59" t="str">
            <v>Drenagem</v>
          </cell>
        </row>
        <row r="60">
          <cell r="A60" t="str">
            <v>04.400.04</v>
          </cell>
          <cell r="B60" t="str">
            <v>VALETA DE PROTEÇÃO DE CORTES C/ REVEST. CONCRETO - VPC 04</v>
          </cell>
          <cell r="C60" t="str">
            <v>m</v>
          </cell>
          <cell r="D60" t="str">
            <v>DNER-ES-288/97</v>
          </cell>
          <cell r="E60">
            <v>34.000000000000007</v>
          </cell>
          <cell r="F60">
            <v>11.11</v>
          </cell>
          <cell r="G60">
            <v>45.110000000000007</v>
          </cell>
          <cell r="H60" t="str">
            <v>Drenagem</v>
          </cell>
        </row>
        <row r="61">
          <cell r="A61" t="str">
            <v>04.401.01</v>
          </cell>
          <cell r="B61" t="str">
            <v>VALETA DE PROTEÇÃO DE ATERROS C/ REVEST. VEGETAL - VPA 01</v>
          </cell>
          <cell r="C61" t="str">
            <v>m</v>
          </cell>
          <cell r="D61" t="str">
            <v>DNER-ES-288/97</v>
          </cell>
          <cell r="E61">
            <v>28.54</v>
          </cell>
          <cell r="F61">
            <v>9.33</v>
          </cell>
          <cell r="G61">
            <v>37.869999999999997</v>
          </cell>
          <cell r="H61" t="str">
            <v>Drenagem</v>
          </cell>
        </row>
        <row r="62">
          <cell r="A62" t="str">
            <v>04.401.04</v>
          </cell>
          <cell r="B62" t="str">
            <v>VALETA DE PROTEÇÃO DE ATERROS C/ REVEST. CONCRETO - VPA 04</v>
          </cell>
          <cell r="C62" t="str">
            <v>m</v>
          </cell>
          <cell r="D62" t="str">
            <v>DNER-ES-288/97</v>
          </cell>
          <cell r="E62">
            <v>33.07</v>
          </cell>
          <cell r="F62">
            <v>10.81</v>
          </cell>
          <cell r="G62">
            <v>43.88</v>
          </cell>
          <cell r="H62" t="str">
            <v>Drenagem</v>
          </cell>
        </row>
        <row r="63">
          <cell r="A63" t="str">
            <v>04.500.02</v>
          </cell>
          <cell r="B63" t="str">
            <v>DRENO LONGITUDINAL PROF. P/CORTE EM SOLO - DPS 02</v>
          </cell>
          <cell r="C63" t="str">
            <v>m</v>
          </cell>
          <cell r="D63" t="str">
            <v>DNER-ES 292/97</v>
          </cell>
          <cell r="E63">
            <v>37.950000000000003</v>
          </cell>
          <cell r="F63">
            <v>12.4</v>
          </cell>
          <cell r="G63">
            <v>50.35</v>
          </cell>
          <cell r="H63" t="str">
            <v>Drenagem</v>
          </cell>
        </row>
        <row r="64">
          <cell r="A64" t="str">
            <v>04.500.07</v>
          </cell>
          <cell r="B64" t="str">
            <v>DRENO LONGITUDINAL PROF. P/CORTE EM SOLO - DPS 07</v>
          </cell>
          <cell r="C64" t="str">
            <v>m</v>
          </cell>
          <cell r="D64" t="str">
            <v>DNER-ES 292/97</v>
          </cell>
          <cell r="E64">
            <v>55.84</v>
          </cell>
          <cell r="F64">
            <v>18.25</v>
          </cell>
          <cell r="G64">
            <v>74.09</v>
          </cell>
          <cell r="H64" t="str">
            <v>Drenagem</v>
          </cell>
        </row>
        <row r="65">
          <cell r="A65" t="str">
            <v>04.502.02</v>
          </cell>
          <cell r="B65" t="str">
            <v>BOCA DE SAÍDA P/DRENO LONGITUDINAL PROF. BSD 02</v>
          </cell>
          <cell r="C65" t="str">
            <v>m</v>
          </cell>
          <cell r="D65" t="str">
            <v>DNER-ES 292/97</v>
          </cell>
          <cell r="E65">
            <v>63.86</v>
          </cell>
          <cell r="F65">
            <v>20.87</v>
          </cell>
          <cell r="G65">
            <v>84.73</v>
          </cell>
          <cell r="H65" t="str">
            <v>Drenagem</v>
          </cell>
        </row>
        <row r="66">
          <cell r="A66" t="str">
            <v>04.900.01</v>
          </cell>
          <cell r="B66" t="str">
            <v>SARJETA TRIANGULAR DE CONCRETO  – STC 01</v>
          </cell>
          <cell r="C66" t="str">
            <v>m</v>
          </cell>
          <cell r="D66" t="str">
            <v>DNER-ES 288/97</v>
          </cell>
          <cell r="E66">
            <v>28.789999999999996</v>
          </cell>
          <cell r="F66">
            <v>9.41</v>
          </cell>
          <cell r="G66">
            <v>38.199999999999996</v>
          </cell>
          <cell r="H66" t="str">
            <v>Drenagem</v>
          </cell>
        </row>
        <row r="67">
          <cell r="A67" t="str">
            <v>04.900.02</v>
          </cell>
          <cell r="B67" t="str">
            <v>SARJETA TRIANGULAR DE CONCRETO  – STC 02</v>
          </cell>
          <cell r="C67" t="str">
            <v>m</v>
          </cell>
          <cell r="D67" t="str">
            <v>DNER-ES 288/97</v>
          </cell>
          <cell r="E67">
            <v>19.32</v>
          </cell>
          <cell r="F67">
            <v>6.31</v>
          </cell>
          <cell r="G67">
            <v>25.63</v>
          </cell>
          <cell r="H67" t="str">
            <v>Drenagem</v>
          </cell>
        </row>
        <row r="68">
          <cell r="A68" t="str">
            <v>04.900.04</v>
          </cell>
          <cell r="B68" t="str">
            <v>SARJETA TRIANGULAR DE CONCRETO  – STC 04</v>
          </cell>
          <cell r="C68" t="str">
            <v>m</v>
          </cell>
          <cell r="D68" t="str">
            <v>DNER-ES 288/97</v>
          </cell>
          <cell r="E68">
            <v>13.63</v>
          </cell>
          <cell r="F68">
            <v>4.45</v>
          </cell>
          <cell r="G68">
            <v>18.080000000000002</v>
          </cell>
          <cell r="H68" t="str">
            <v>Drenagem</v>
          </cell>
        </row>
        <row r="69">
          <cell r="A69" t="str">
            <v>04.901.22</v>
          </cell>
          <cell r="B69" t="str">
            <v>SARJETA DE CANTEIRO CENTRAL DE CONCRETO - SCC 04</v>
          </cell>
          <cell r="C69" t="str">
            <v>m</v>
          </cell>
          <cell r="D69" t="str">
            <v>DNER-ES 288/97</v>
          </cell>
          <cell r="E69">
            <v>34.19</v>
          </cell>
          <cell r="F69">
            <v>11.17</v>
          </cell>
          <cell r="G69">
            <v>45.36</v>
          </cell>
          <cell r="H69" t="str">
            <v>Drenagem</v>
          </cell>
        </row>
        <row r="70">
          <cell r="A70" t="str">
            <v>04.910.01</v>
          </cell>
          <cell r="B70" t="str">
            <v>MEIO-FIO DE CONCRETO - MFC 01</v>
          </cell>
          <cell r="C70" t="str">
            <v>m</v>
          </cell>
          <cell r="D70" t="str">
            <v>DNER-ES 290/97</v>
          </cell>
          <cell r="E70">
            <v>27.869999999999997</v>
          </cell>
          <cell r="F70">
            <v>9.11</v>
          </cell>
          <cell r="G70">
            <v>36.979999999999997</v>
          </cell>
          <cell r="H70" t="str">
            <v>Drenagem</v>
          </cell>
        </row>
        <row r="71">
          <cell r="A71" t="str">
            <v>04.910.03</v>
          </cell>
          <cell r="B71" t="str">
            <v>MEIO-FIO DE CONCRETO - MFC 03</v>
          </cell>
          <cell r="C71" t="str">
            <v>m</v>
          </cell>
          <cell r="D71" t="str">
            <v>DNER-ES 290/97</v>
          </cell>
          <cell r="E71">
            <v>12.79</v>
          </cell>
          <cell r="F71">
            <v>4.18</v>
          </cell>
          <cell r="G71">
            <v>16.97</v>
          </cell>
          <cell r="H71" t="str">
            <v>Drenagem</v>
          </cell>
        </row>
        <row r="72">
          <cell r="A72" t="str">
            <v>04.910.05</v>
          </cell>
          <cell r="B72" t="str">
            <v>MEIO-FIO DE CONCRETO - MFC 05</v>
          </cell>
          <cell r="C72" t="str">
            <v>m</v>
          </cell>
          <cell r="D72" t="str">
            <v>DNER-ES 290/97</v>
          </cell>
          <cell r="E72">
            <v>12.839999999999998</v>
          </cell>
          <cell r="F72">
            <v>4.2</v>
          </cell>
          <cell r="G72">
            <v>17.04</v>
          </cell>
          <cell r="H72" t="str">
            <v>Drenagem</v>
          </cell>
        </row>
        <row r="73">
          <cell r="A73" t="str">
            <v>04.930.01</v>
          </cell>
          <cell r="B73" t="str">
            <v>CAIXA COLETORA DE SARJETA - CCS 01</v>
          </cell>
          <cell r="C73" t="str">
            <v>unid.</v>
          </cell>
          <cell r="D73" t="str">
            <v>DNER-ES-287/97</v>
          </cell>
          <cell r="E73">
            <v>694.62</v>
          </cell>
          <cell r="F73">
            <v>227</v>
          </cell>
          <cell r="G73">
            <v>921.62</v>
          </cell>
          <cell r="H73" t="str">
            <v>Drenagem</v>
          </cell>
        </row>
        <row r="74">
          <cell r="A74" t="str">
            <v>04.930.04</v>
          </cell>
          <cell r="B74" t="str">
            <v>CAIXA COLETORA DE SARJETA - CCS 04</v>
          </cell>
          <cell r="C74" t="str">
            <v>unid.</v>
          </cell>
          <cell r="D74" t="str">
            <v>DNER-ES-287/97</v>
          </cell>
          <cell r="E74">
            <v>636.63</v>
          </cell>
          <cell r="F74">
            <v>208.05</v>
          </cell>
          <cell r="G74">
            <v>844.68000000000006</v>
          </cell>
          <cell r="H74" t="str">
            <v>Drenagem</v>
          </cell>
        </row>
        <row r="75">
          <cell r="A75" t="str">
            <v>04.931.04</v>
          </cell>
          <cell r="B75" t="str">
            <v>CAIXA COLETORA DE TALVEGUE - CCT 04</v>
          </cell>
          <cell r="C75" t="str">
            <v>unid.</v>
          </cell>
          <cell r="D75" t="str">
            <v>DNER-ES-287/97</v>
          </cell>
          <cell r="E75">
            <v>648.08000000000004</v>
          </cell>
          <cell r="F75">
            <v>211.79</v>
          </cell>
          <cell r="G75">
            <v>859.87</v>
          </cell>
          <cell r="H75" t="str">
            <v>Drenagem</v>
          </cell>
        </row>
        <row r="76">
          <cell r="A76" t="str">
            <v>04.940.02</v>
          </cell>
          <cell r="B76" t="str">
            <v>DESCIDA D'ÁGUA TIPO RÁPIDA CANAL RETANGULAR - DAR 02</v>
          </cell>
          <cell r="C76" t="str">
            <v>m</v>
          </cell>
          <cell r="D76" t="str">
            <v>DNER-ES-291/97</v>
          </cell>
          <cell r="E76">
            <v>38.049999999999997</v>
          </cell>
          <cell r="F76">
            <v>12.43</v>
          </cell>
          <cell r="G76">
            <v>50.48</v>
          </cell>
          <cell r="H76" t="str">
            <v>Drenagem</v>
          </cell>
        </row>
        <row r="77">
          <cell r="A77" t="str">
            <v>04.940.03</v>
          </cell>
          <cell r="B77" t="str">
            <v>DESCIDA D'ÁGUA TIPO RÁPIDA CANAL RETANGULAR - DAR 03</v>
          </cell>
          <cell r="C77" t="str">
            <v>m</v>
          </cell>
          <cell r="D77" t="str">
            <v>DNER-ES-291/97</v>
          </cell>
          <cell r="E77">
            <v>52.16</v>
          </cell>
          <cell r="F77">
            <v>17.05</v>
          </cell>
          <cell r="G77">
            <v>69.209999999999994</v>
          </cell>
          <cell r="H77" t="str">
            <v>Drenagem</v>
          </cell>
        </row>
        <row r="78">
          <cell r="A78" t="str">
            <v>04.941.01</v>
          </cell>
          <cell r="B78" t="str">
            <v>DESCIDA D'ÁGUA ATERROS EM DEGRAUS - DAD 01</v>
          </cell>
          <cell r="C78" t="str">
            <v>m</v>
          </cell>
          <cell r="D78" t="str">
            <v>DNER-ES-291/97</v>
          </cell>
          <cell r="E78">
            <v>50.730000000000004</v>
          </cell>
          <cell r="F78">
            <v>16.579999999999998</v>
          </cell>
          <cell r="G78">
            <v>67.31</v>
          </cell>
          <cell r="H78" t="str">
            <v>Drenagem</v>
          </cell>
        </row>
        <row r="79">
          <cell r="A79" t="str">
            <v>04.941.06</v>
          </cell>
          <cell r="B79" t="str">
            <v>DESCIDA D'ÁGUA ATERROS EM DEGRAUS ARMADOS - DAD 06</v>
          </cell>
          <cell r="C79" t="str">
            <v>m</v>
          </cell>
          <cell r="D79" t="str">
            <v>DNER-ES-291/97</v>
          </cell>
          <cell r="E79">
            <v>213.45000000000002</v>
          </cell>
          <cell r="F79">
            <v>69.760000000000005</v>
          </cell>
          <cell r="G79">
            <v>283.21000000000004</v>
          </cell>
          <cell r="H79" t="str">
            <v>Drenagem</v>
          </cell>
        </row>
        <row r="80">
          <cell r="A80" t="str">
            <v>04.941.08</v>
          </cell>
          <cell r="B80" t="str">
            <v>DESCIDA D'ÁGUA ATERROS EM DEGRAUS ARMADOS - DAD 08</v>
          </cell>
          <cell r="C80" t="str">
            <v>m</v>
          </cell>
          <cell r="D80" t="str">
            <v>DNER-ES-291/97</v>
          </cell>
          <cell r="E80">
            <v>248.56</v>
          </cell>
          <cell r="F80">
            <v>81.23</v>
          </cell>
          <cell r="G80">
            <v>329.79</v>
          </cell>
          <cell r="H80" t="str">
            <v>Drenagem</v>
          </cell>
        </row>
        <row r="81">
          <cell r="A81" t="str">
            <v>04.941.31</v>
          </cell>
          <cell r="B81" t="str">
            <v>DESCIDA D'ÁGUA CORTES EM DEGRAUS - DCD 01</v>
          </cell>
          <cell r="C81" t="str">
            <v>m</v>
          </cell>
          <cell r="D81" t="str">
            <v>DNER-ES-291/97</v>
          </cell>
          <cell r="E81">
            <v>51.340000000000011</v>
          </cell>
          <cell r="F81">
            <v>16.78</v>
          </cell>
          <cell r="G81">
            <v>68.12</v>
          </cell>
          <cell r="H81" t="str">
            <v>Drenagem</v>
          </cell>
        </row>
        <row r="82">
          <cell r="A82" t="str">
            <v>04.941.32</v>
          </cell>
          <cell r="B82" t="str">
            <v>DESCIDA D'ÁGUA CORTES EM DEGRAUS ARM. - DCD 02</v>
          </cell>
          <cell r="C82" t="str">
            <v>m</v>
          </cell>
          <cell r="D82" t="str">
            <v>DNER-ES-291/97</v>
          </cell>
          <cell r="E82">
            <v>69.02000000000001</v>
          </cell>
          <cell r="F82">
            <v>22.56</v>
          </cell>
          <cell r="G82">
            <v>91.580000000000013</v>
          </cell>
          <cell r="H82" t="str">
            <v>Drenagem</v>
          </cell>
        </row>
        <row r="83">
          <cell r="A83" t="str">
            <v>04.942.01</v>
          </cell>
          <cell r="B83" t="str">
            <v>ENTRADA D'ÁGUA - EDA 01</v>
          </cell>
          <cell r="C83" t="str">
            <v>unid.</v>
          </cell>
          <cell r="D83" t="str">
            <v>DNER-ES-291/97</v>
          </cell>
          <cell r="E83">
            <v>22.689999999999998</v>
          </cell>
          <cell r="F83">
            <v>7.42</v>
          </cell>
          <cell r="G83">
            <v>30.11</v>
          </cell>
          <cell r="H83" t="str">
            <v>Drenagem</v>
          </cell>
        </row>
        <row r="84">
          <cell r="A84" t="str">
            <v>04.942.02</v>
          </cell>
          <cell r="B84" t="str">
            <v>ENTRADA D'ÁGUA - EDA 02</v>
          </cell>
          <cell r="C84" t="str">
            <v>unid.</v>
          </cell>
          <cell r="D84" t="str">
            <v>DNER-ES-291/97</v>
          </cell>
          <cell r="E84">
            <v>27.919999999999998</v>
          </cell>
          <cell r="F84">
            <v>9.1199999999999992</v>
          </cell>
          <cell r="G84">
            <v>37.04</v>
          </cell>
          <cell r="H84" t="str">
            <v>Drenagem</v>
          </cell>
        </row>
        <row r="85">
          <cell r="A85" t="str">
            <v>04.950.01</v>
          </cell>
          <cell r="B85" t="str">
            <v>DISSIPADOR DE ENERGIA - DES 01</v>
          </cell>
          <cell r="C85" t="str">
            <v>unid.</v>
          </cell>
          <cell r="D85" t="str">
            <v>DNER-ES-283/97</v>
          </cell>
          <cell r="E85">
            <v>109.97999999999999</v>
          </cell>
          <cell r="F85">
            <v>35.94</v>
          </cell>
          <cell r="G85">
            <v>145.91999999999999</v>
          </cell>
          <cell r="H85" t="str">
            <v>Drenagem</v>
          </cell>
        </row>
        <row r="86">
          <cell r="A86" t="str">
            <v>04.950.21</v>
          </cell>
          <cell r="B86" t="str">
            <v>DISSIPADOR DE ENERGIA - DEB 01</v>
          </cell>
          <cell r="C86" t="str">
            <v>unid.</v>
          </cell>
          <cell r="D86" t="str">
            <v>DNER-ES-283/97</v>
          </cell>
          <cell r="E86">
            <v>121.85</v>
          </cell>
          <cell r="F86">
            <v>39.82</v>
          </cell>
          <cell r="G86">
            <v>161.66999999999999</v>
          </cell>
          <cell r="H86" t="str">
            <v>Drenagem</v>
          </cell>
        </row>
        <row r="87">
          <cell r="A87" t="str">
            <v>04.950.24</v>
          </cell>
          <cell r="B87" t="str">
            <v>DISSIPADOR DE ENERGIA - DEB 04</v>
          </cell>
          <cell r="C87" t="str">
            <v>unid.</v>
          </cell>
          <cell r="D87" t="str">
            <v>DNER-ES-283/97</v>
          </cell>
          <cell r="E87">
            <v>971.39</v>
          </cell>
          <cell r="F87">
            <v>317.45</v>
          </cell>
          <cell r="G87">
            <v>1288.8399999999999</v>
          </cell>
          <cell r="H87" t="str">
            <v>Drenagem</v>
          </cell>
        </row>
        <row r="88">
          <cell r="A88" t="str">
            <v>04.950.51</v>
          </cell>
          <cell r="B88" t="str">
            <v>DISSIPADOR DE ENERGIA - DED 01</v>
          </cell>
          <cell r="C88" t="str">
            <v>unid.</v>
          </cell>
          <cell r="D88" t="str">
            <v>DNER-ES-283/97</v>
          </cell>
          <cell r="E88">
            <v>127.19</v>
          </cell>
          <cell r="F88">
            <v>41.57</v>
          </cell>
          <cell r="G88">
            <v>168.76</v>
          </cell>
          <cell r="H88" t="str">
            <v>Drenagem</v>
          </cell>
        </row>
        <row r="89">
          <cell r="A89" t="str">
            <v>04.962.02</v>
          </cell>
          <cell r="B89" t="str">
            <v>CAIXA DE LIGAÇÃO E PASSAGEM - CLP 02</v>
          </cell>
          <cell r="C89" t="str">
            <v>unid.</v>
          </cell>
          <cell r="D89" t="str">
            <v>DNER-ES-287/97</v>
          </cell>
          <cell r="E89">
            <v>445.51</v>
          </cell>
          <cell r="F89">
            <v>145.59</v>
          </cell>
          <cell r="G89">
            <v>591.1</v>
          </cell>
          <cell r="H89" t="str">
            <v>Drenagem</v>
          </cell>
        </row>
        <row r="90">
          <cell r="A90" t="str">
            <v>04.990.01</v>
          </cell>
          <cell r="B90" t="str">
            <v>TRANSPOSIÇÃO DE SEGMENTO DE SARJETA - TSS 01</v>
          </cell>
          <cell r="C90" t="str">
            <v>m</v>
          </cell>
          <cell r="D90" t="str">
            <v>DNER-ES-287/97</v>
          </cell>
          <cell r="E90">
            <v>79.88</v>
          </cell>
          <cell r="F90">
            <v>26.1</v>
          </cell>
          <cell r="G90">
            <v>105.97999999999999</v>
          </cell>
          <cell r="H90" t="str">
            <v>Drenagem</v>
          </cell>
        </row>
        <row r="91">
          <cell r="A91" t="str">
            <v>04.990.03</v>
          </cell>
          <cell r="B91" t="str">
            <v>TRANSPOSIÇÃO DE SEGMENTO DE SARJETA - TSS 03</v>
          </cell>
          <cell r="C91" t="str">
            <v>m</v>
          </cell>
          <cell r="D91" t="str">
            <v>DNER-ES-287/97</v>
          </cell>
          <cell r="E91">
            <v>127.31</v>
          </cell>
          <cell r="F91">
            <v>41.6</v>
          </cell>
          <cell r="G91">
            <v>168.91</v>
          </cell>
          <cell r="H91" t="str">
            <v>Drenagem</v>
          </cell>
        </row>
        <row r="92">
          <cell r="A92" t="str">
            <v>OBRAS DE ARTE CORRENTES</v>
          </cell>
        </row>
        <row r="93">
          <cell r="A93" t="str">
            <v>04.100.02</v>
          </cell>
          <cell r="B93" t="str">
            <v>CORPO BSTC D=0,80M</v>
          </cell>
          <cell r="C93" t="str">
            <v>m</v>
          </cell>
          <cell r="D93" t="str">
            <v>DNER-ES-284/97</v>
          </cell>
          <cell r="E93">
            <v>231.74</v>
          </cell>
          <cell r="F93">
            <v>75.73</v>
          </cell>
          <cell r="G93">
            <v>307.47000000000003</v>
          </cell>
          <cell r="H93" t="str">
            <v>Arte Correntes</v>
          </cell>
        </row>
        <row r="94">
          <cell r="A94" t="str">
            <v>04.100.03</v>
          </cell>
          <cell r="B94" t="str">
            <v>CORPO BSTC D=1,00M</v>
          </cell>
          <cell r="C94" t="str">
            <v>m</v>
          </cell>
          <cell r="D94" t="str">
            <v>DNER-ES-284/97</v>
          </cell>
          <cell r="E94">
            <v>330.61</v>
          </cell>
          <cell r="F94">
            <v>108.04</v>
          </cell>
          <cell r="G94">
            <v>438.65000000000003</v>
          </cell>
          <cell r="H94" t="str">
            <v>Arte Correntes</v>
          </cell>
        </row>
        <row r="95">
          <cell r="A95" t="str">
            <v>04.100.04</v>
          </cell>
          <cell r="B95" t="str">
            <v>CORPO BSTC D=1,20M</v>
          </cell>
          <cell r="C95" t="str">
            <v>m</v>
          </cell>
          <cell r="D95" t="str">
            <v>DNER-ES-284/97</v>
          </cell>
          <cell r="E95">
            <v>406.59000000000003</v>
          </cell>
          <cell r="F95">
            <v>132.87</v>
          </cell>
          <cell r="G95">
            <v>539.46</v>
          </cell>
          <cell r="H95" t="str">
            <v>Arte Correntes</v>
          </cell>
        </row>
        <row r="96">
          <cell r="A96" t="str">
            <v>04.101.02</v>
          </cell>
          <cell r="B96" t="str">
            <v>BOCA BSTC D=0,80M NORMAL</v>
          </cell>
          <cell r="C96" t="str">
            <v>unid.</v>
          </cell>
          <cell r="D96" t="str">
            <v>DNER-ES-284/97</v>
          </cell>
          <cell r="E96">
            <v>615.80000000000007</v>
          </cell>
          <cell r="F96">
            <v>201.24</v>
          </cell>
          <cell r="G96">
            <v>817.04000000000008</v>
          </cell>
          <cell r="H96" t="str">
            <v>Arte Correntes</v>
          </cell>
        </row>
        <row r="97">
          <cell r="A97" t="str">
            <v>04.101.03</v>
          </cell>
          <cell r="B97" t="str">
            <v>BOCA BSTC D=1,00M NORMAL</v>
          </cell>
          <cell r="C97" t="str">
            <v>unid.</v>
          </cell>
          <cell r="D97" t="str">
            <v>DNER-ES-284/97</v>
          </cell>
          <cell r="E97">
            <v>960.25999999999988</v>
          </cell>
          <cell r="F97">
            <v>313.81</v>
          </cell>
          <cell r="G97">
            <v>1274.07</v>
          </cell>
          <cell r="H97" t="str">
            <v>Arte Correntes</v>
          </cell>
        </row>
        <row r="98">
          <cell r="A98" t="str">
            <v>04.101.04</v>
          </cell>
          <cell r="B98" t="str">
            <v>BOCA BSTC D=1,20M NORMAL</v>
          </cell>
          <cell r="C98" t="str">
            <v>unid.</v>
          </cell>
          <cell r="D98" t="str">
            <v>DNER-ES-284/97</v>
          </cell>
          <cell r="E98">
            <v>1399.3500000000001</v>
          </cell>
          <cell r="F98">
            <v>457.31</v>
          </cell>
          <cell r="G98">
            <v>1856.66</v>
          </cell>
          <cell r="H98" t="str">
            <v>Arte Correntes</v>
          </cell>
        </row>
        <row r="99">
          <cell r="A99" t="str">
            <v>04.110.01</v>
          </cell>
          <cell r="B99" t="str">
            <v>CORPO BDTC D=1,00M</v>
          </cell>
          <cell r="C99" t="str">
            <v>m</v>
          </cell>
          <cell r="D99" t="str">
            <v>DNER-ES-284/97</v>
          </cell>
          <cell r="E99">
            <v>682.32000000000016</v>
          </cell>
          <cell r="F99">
            <v>222.98</v>
          </cell>
          <cell r="G99">
            <v>905.30000000000018</v>
          </cell>
          <cell r="H99" t="str">
            <v>Arte Correntes</v>
          </cell>
        </row>
        <row r="100">
          <cell r="A100" t="str">
            <v>04.110.02</v>
          </cell>
          <cell r="B100" t="str">
            <v>CORPO BDTC D=1,20M</v>
          </cell>
          <cell r="C100" t="str">
            <v>m</v>
          </cell>
          <cell r="D100" t="str">
            <v>DNER-ES-284/97</v>
          </cell>
          <cell r="E100">
            <v>859.51</v>
          </cell>
          <cell r="F100">
            <v>280.89</v>
          </cell>
          <cell r="G100">
            <v>1140.4000000000001</v>
          </cell>
          <cell r="H100" t="str">
            <v>Arte Correntes</v>
          </cell>
        </row>
        <row r="101">
          <cell r="A101" t="str">
            <v>04.111.01</v>
          </cell>
          <cell r="B101" t="str">
            <v>BOCA BDTC D=1,00M NORMAL</v>
          </cell>
          <cell r="C101" t="str">
            <v>unid.</v>
          </cell>
          <cell r="D101" t="str">
            <v>DNER-ES-284/97</v>
          </cell>
          <cell r="E101">
            <v>1347.9199999999998</v>
          </cell>
          <cell r="F101">
            <v>440.5</v>
          </cell>
          <cell r="G101">
            <v>1788.4199999999998</v>
          </cell>
          <cell r="H101" t="str">
            <v>Arte Correntes</v>
          </cell>
        </row>
        <row r="102">
          <cell r="A102" t="str">
            <v>04.111.02</v>
          </cell>
          <cell r="B102" t="str">
            <v>BOCA BDTC D=1,20M NORMAL</v>
          </cell>
          <cell r="C102" t="str">
            <v>unid.</v>
          </cell>
          <cell r="D102" t="str">
            <v>DNER-ES-284/97</v>
          </cell>
          <cell r="E102">
            <v>1970.3899999999999</v>
          </cell>
          <cell r="F102">
            <v>643.91999999999996</v>
          </cell>
          <cell r="G102">
            <v>2614.31</v>
          </cell>
          <cell r="H102" t="str">
            <v>Arte Correntes</v>
          </cell>
        </row>
        <row r="103">
          <cell r="A103" t="str">
            <v>04.120.01</v>
          </cell>
          <cell r="B103" t="str">
            <v>CORPO BTTC D=1,00M</v>
          </cell>
          <cell r="C103" t="str">
            <v>m</v>
          </cell>
          <cell r="D103" t="str">
            <v>DNER-ES-284/97</v>
          </cell>
          <cell r="E103">
            <v>949.65</v>
          </cell>
          <cell r="F103">
            <v>310.35000000000002</v>
          </cell>
          <cell r="G103">
            <v>1260</v>
          </cell>
          <cell r="H103" t="str">
            <v>Arte Correntes</v>
          </cell>
        </row>
        <row r="104">
          <cell r="A104" t="str">
            <v>04.121.01</v>
          </cell>
          <cell r="B104" t="str">
            <v>BOCA BTTC D=1,00M NORMAL</v>
          </cell>
          <cell r="C104" t="str">
            <v>unid.</v>
          </cell>
          <cell r="D104" t="str">
            <v>DNER-ES-284/97</v>
          </cell>
          <cell r="E104">
            <v>1740.02</v>
          </cell>
          <cell r="F104">
            <v>568.64</v>
          </cell>
          <cell r="G104">
            <v>2308.66</v>
          </cell>
          <cell r="H104" t="str">
            <v>Arte Correntes</v>
          </cell>
        </row>
        <row r="105">
          <cell r="A105" t="str">
            <v>04.200.03</v>
          </cell>
          <cell r="B105" t="str">
            <v>CORPO DE BSCC 2,50X2,50 ALT. 0,00A1,00M</v>
          </cell>
          <cell r="C105" t="str">
            <v>m</v>
          </cell>
          <cell r="D105" t="str">
            <v>DNER-ES-286/97</v>
          </cell>
          <cell r="E105">
            <v>1309.19</v>
          </cell>
          <cell r="F105">
            <v>427.84</v>
          </cell>
          <cell r="G105">
            <v>1737.03</v>
          </cell>
          <cell r="H105" t="str">
            <v>Arte Correntes</v>
          </cell>
        </row>
        <row r="106">
          <cell r="A106" t="str">
            <v>04.200.04</v>
          </cell>
          <cell r="B106" t="str">
            <v>CORPO DE BSCC 3,00X3,00 ALT. 0,00A1,00M</v>
          </cell>
          <cell r="C106" t="str">
            <v>m</v>
          </cell>
          <cell r="D106" t="str">
            <v>DNER-ES-286/97</v>
          </cell>
          <cell r="E106">
            <v>1741.9699999999998</v>
          </cell>
          <cell r="F106">
            <v>569.28</v>
          </cell>
          <cell r="G106">
            <v>2311.25</v>
          </cell>
          <cell r="H106" t="str">
            <v>Arte Correntes</v>
          </cell>
        </row>
        <row r="107">
          <cell r="A107" t="str">
            <v>04.200.06</v>
          </cell>
          <cell r="B107" t="str">
            <v>CORPO DE BSCC 2,00X2,00 ALT. 1,00A2,50M</v>
          </cell>
          <cell r="C107" t="str">
            <v>m</v>
          </cell>
          <cell r="D107" t="str">
            <v>DNER-ES-286/97</v>
          </cell>
          <cell r="E107">
            <v>823.61</v>
          </cell>
          <cell r="F107">
            <v>269.16000000000003</v>
          </cell>
          <cell r="G107">
            <v>1092.77</v>
          </cell>
          <cell r="H107" t="str">
            <v>Arte Correntes</v>
          </cell>
        </row>
        <row r="108">
          <cell r="A108" t="str">
            <v>04.200.09</v>
          </cell>
          <cell r="B108" t="str">
            <v>CORPO DE BSCC 1,50X1,50 ALT. 2,50A5,00M</v>
          </cell>
          <cell r="C108" t="str">
            <v>m</v>
          </cell>
          <cell r="D108" t="str">
            <v>DNER-ES-286/97</v>
          </cell>
          <cell r="E108">
            <v>630.48</v>
          </cell>
          <cell r="F108">
            <v>206.04</v>
          </cell>
          <cell r="G108">
            <v>836.52</v>
          </cell>
          <cell r="H108" t="str">
            <v>Arte Correntes</v>
          </cell>
        </row>
        <row r="109">
          <cell r="A109" t="str">
            <v>04.200.14</v>
          </cell>
          <cell r="B109" t="str">
            <v>CORPO DE BSCC 2,00X2,00M ALT. 5,00A7,50M</v>
          </cell>
          <cell r="C109" t="str">
            <v>m</v>
          </cell>
          <cell r="D109" t="str">
            <v>DNER-ES-286/97</v>
          </cell>
          <cell r="E109">
            <v>1093.22</v>
          </cell>
          <cell r="F109">
            <v>357.26</v>
          </cell>
          <cell r="G109">
            <v>1450.48</v>
          </cell>
          <cell r="H109" t="str">
            <v>Arte Correntes</v>
          </cell>
        </row>
        <row r="110">
          <cell r="A110" t="str">
            <v>04.200.15</v>
          </cell>
          <cell r="B110" t="str">
            <v>CORPO DE BSCC 2,50X2,50M ALT. 5,00A7,50M</v>
          </cell>
          <cell r="C110" t="str">
            <v>m</v>
          </cell>
          <cell r="D110" t="str">
            <v>DNER-ES-286/97</v>
          </cell>
          <cell r="E110">
            <v>1599.75</v>
          </cell>
          <cell r="F110">
            <v>522.79999999999995</v>
          </cell>
          <cell r="G110">
            <v>2122.5500000000002</v>
          </cell>
          <cell r="H110" t="str">
            <v>Arte Correntes</v>
          </cell>
        </row>
        <row r="111">
          <cell r="A111" t="str">
            <v>04.200.16</v>
          </cell>
          <cell r="B111" t="str">
            <v>CORPO DE BSCC 3,00X3,00M ALT. 5,00A7,50M</v>
          </cell>
          <cell r="C111" t="str">
            <v>m</v>
          </cell>
          <cell r="D111" t="str">
            <v>DNER-ES-286/97</v>
          </cell>
          <cell r="E111">
            <v>2267.15</v>
          </cell>
          <cell r="F111">
            <v>740.9</v>
          </cell>
          <cell r="G111">
            <v>3008.05</v>
          </cell>
          <cell r="H111" t="str">
            <v>Arte Correntes</v>
          </cell>
        </row>
        <row r="112">
          <cell r="A112" t="str">
            <v>04.200.19</v>
          </cell>
          <cell r="B112" t="str">
            <v>CORPO DE BSCC 2,50X2,50M ALT. 7,50A10,00M</v>
          </cell>
          <cell r="C112" t="str">
            <v>m</v>
          </cell>
          <cell r="D112" t="str">
            <v>DNER-ES-286/97</v>
          </cell>
          <cell r="E112">
            <v>1748.98</v>
          </cell>
          <cell r="F112">
            <v>571.57000000000005</v>
          </cell>
          <cell r="G112">
            <v>2320.5500000000002</v>
          </cell>
          <cell r="H112" t="str">
            <v>Arte Correntes</v>
          </cell>
        </row>
        <row r="113">
          <cell r="A113" t="str">
            <v>04.200.20</v>
          </cell>
          <cell r="B113" t="str">
            <v>CORPO DE BSCC 3,00X3,00M ALT. 7,50A10,00M</v>
          </cell>
          <cell r="C113" t="str">
            <v>m</v>
          </cell>
          <cell r="D113" t="str">
            <v>DNER-ES-286/97</v>
          </cell>
          <cell r="E113">
            <v>2504.4600000000005</v>
          </cell>
          <cell r="F113">
            <v>818.46</v>
          </cell>
          <cell r="G113">
            <v>3322.9200000000005</v>
          </cell>
          <cell r="H113" t="str">
            <v>Arte Correntes</v>
          </cell>
        </row>
        <row r="114">
          <cell r="A114" t="str">
            <v>04.200.22</v>
          </cell>
          <cell r="B114" t="str">
            <v>CORPO DE BSCC 2,00X2,00M ALT. 10,00A12,50M</v>
          </cell>
          <cell r="C114" t="str">
            <v>m</v>
          </cell>
          <cell r="D114" t="str">
            <v>DNER-ES-286/97</v>
          </cell>
          <cell r="E114">
            <v>1342.35</v>
          </cell>
          <cell r="F114">
            <v>438.68</v>
          </cell>
          <cell r="G114">
            <v>1781.03</v>
          </cell>
          <cell r="H114" t="str">
            <v>Arte Correntes</v>
          </cell>
        </row>
        <row r="115">
          <cell r="A115" t="str">
            <v>04.200.23</v>
          </cell>
          <cell r="B115" t="str">
            <v>CORPO DE BSCC 2,50X2,50M ALT. 10,00A12,50M</v>
          </cell>
          <cell r="C115" t="str">
            <v>m</v>
          </cell>
          <cell r="D115" t="str">
            <v>DNER-ES-286/97</v>
          </cell>
          <cell r="E115">
            <v>1940.19</v>
          </cell>
          <cell r="F115">
            <v>634.04999999999995</v>
          </cell>
          <cell r="G115">
            <v>2574.2399999999998</v>
          </cell>
          <cell r="H115" t="str">
            <v>Arte Correntes</v>
          </cell>
        </row>
        <row r="116">
          <cell r="A116" t="str">
            <v>04.200.28</v>
          </cell>
          <cell r="B116" t="str">
            <v>CORPO DE BSCC 3,00X3,00M ALT. 12,50A15,00M</v>
          </cell>
          <cell r="C116" t="str">
            <v>m</v>
          </cell>
          <cell r="D116" t="str">
            <v>DNER-ES-286/97</v>
          </cell>
          <cell r="E116">
            <v>2938.85</v>
          </cell>
          <cell r="F116">
            <v>960.42</v>
          </cell>
          <cell r="G116">
            <v>3899.27</v>
          </cell>
          <cell r="H116" t="str">
            <v>Arte Correntes</v>
          </cell>
        </row>
        <row r="117">
          <cell r="A117" t="str">
            <v>04.201.01</v>
          </cell>
          <cell r="B117" t="str">
            <v>BOCA DE BSCC 1,50X1,50M NORMAL</v>
          </cell>
          <cell r="C117" t="str">
            <v>unid.</v>
          </cell>
          <cell r="D117" t="str">
            <v>DNER-ES-286/97</v>
          </cell>
          <cell r="E117">
            <v>3797.59</v>
          </cell>
          <cell r="F117">
            <v>1241.05</v>
          </cell>
          <cell r="G117">
            <v>5038.6400000000003</v>
          </cell>
          <cell r="H117" t="str">
            <v>Arte Correntes</v>
          </cell>
        </row>
        <row r="118">
          <cell r="A118" t="str">
            <v>04.201.02</v>
          </cell>
          <cell r="B118" t="str">
            <v>BOCA DE BSCC 2,00X2,00M NORMAL</v>
          </cell>
          <cell r="C118" t="str">
            <v>unid.</v>
          </cell>
          <cell r="D118" t="str">
            <v>DNER-ES-286/97</v>
          </cell>
          <cell r="E118">
            <v>5927.28</v>
          </cell>
          <cell r="F118">
            <v>1937.04</v>
          </cell>
          <cell r="G118">
            <v>7864.32</v>
          </cell>
          <cell r="H118" t="str">
            <v>Arte Correntes</v>
          </cell>
        </row>
        <row r="119">
          <cell r="A119" t="str">
            <v>04.201.03</v>
          </cell>
          <cell r="B119" t="str">
            <v>BOCA DE BSCC 2,50X2,50M NORMAL</v>
          </cell>
          <cell r="C119" t="str">
            <v>unid.</v>
          </cell>
          <cell r="D119" t="str">
            <v>DNER-ES-286/97</v>
          </cell>
          <cell r="E119">
            <v>8002.2900000000009</v>
          </cell>
          <cell r="F119">
            <v>2615.15</v>
          </cell>
          <cell r="G119">
            <v>10617.44</v>
          </cell>
          <cell r="H119" t="str">
            <v>Arte Correntes</v>
          </cell>
        </row>
        <row r="120">
          <cell r="A120" t="str">
            <v>04.201.04</v>
          </cell>
          <cell r="B120" t="str">
            <v>BOCA DE BSCC 3,00X3,00M NORMAL</v>
          </cell>
          <cell r="C120" t="str">
            <v>unid.</v>
          </cell>
          <cell r="D120" t="str">
            <v>DNER-ES-286/97</v>
          </cell>
          <cell r="E120">
            <v>11442.839999999998</v>
          </cell>
          <cell r="F120">
            <v>3739.52</v>
          </cell>
          <cell r="G120">
            <v>15182.359999999999</v>
          </cell>
          <cell r="H120" t="str">
            <v>Arte Correntes</v>
          </cell>
        </row>
        <row r="121">
          <cell r="A121" t="str">
            <v>04.210.01</v>
          </cell>
          <cell r="B121" t="str">
            <v>CORPO BDCC 1,50X1,50M ALT. 0,00A1,00M</v>
          </cell>
          <cell r="C121" t="str">
            <v>m</v>
          </cell>
          <cell r="D121" t="str">
            <v>DNER-ES-286/97</v>
          </cell>
          <cell r="E121">
            <v>1113.8399999999999</v>
          </cell>
          <cell r="F121">
            <v>364</v>
          </cell>
          <cell r="G121">
            <v>1477.84</v>
          </cell>
          <cell r="H121" t="str">
            <v>Arte Correntes</v>
          </cell>
        </row>
        <row r="122">
          <cell r="A122" t="str">
            <v>04.210.05</v>
          </cell>
          <cell r="B122" t="str">
            <v>CORPO BDCC 1,50X1,50M ALT. 1,00A2,50M</v>
          </cell>
          <cell r="C122" t="str">
            <v>m</v>
          </cell>
          <cell r="D122" t="str">
            <v>DNER-ES-286/97</v>
          </cell>
          <cell r="E122">
            <v>995.42000000000007</v>
          </cell>
          <cell r="F122">
            <v>325.3</v>
          </cell>
          <cell r="G122">
            <v>1320.72</v>
          </cell>
          <cell r="H122" t="str">
            <v>Arte Correntes</v>
          </cell>
        </row>
        <row r="123">
          <cell r="A123" t="str">
            <v>04.210.09</v>
          </cell>
          <cell r="B123" t="str">
            <v>CORPO BDCC 1,50X1,50M ALT. 2,50A5,00M</v>
          </cell>
          <cell r="C123" t="str">
            <v>m</v>
          </cell>
          <cell r="D123" t="str">
            <v>DNER-ES-286/97</v>
          </cell>
          <cell r="E123">
            <v>1052.82</v>
          </cell>
          <cell r="F123">
            <v>344.06</v>
          </cell>
          <cell r="G123">
            <v>1396.8799999999999</v>
          </cell>
          <cell r="H123" t="str">
            <v>Arte Correntes</v>
          </cell>
        </row>
        <row r="124">
          <cell r="A124" t="str">
            <v>04.210.10</v>
          </cell>
          <cell r="B124" t="str">
            <v>CORPO BDCC 2,00X2,00M ALT. 2,50A5,00M</v>
          </cell>
          <cell r="C124" t="str">
            <v>m</v>
          </cell>
          <cell r="D124" t="str">
            <v>DNER-ES-286/97</v>
          </cell>
          <cell r="E124">
            <v>1609.0899999999997</v>
          </cell>
          <cell r="F124">
            <v>525.85</v>
          </cell>
          <cell r="G124">
            <v>2134.9399999999996</v>
          </cell>
          <cell r="H124" t="str">
            <v>Arte Correntes</v>
          </cell>
        </row>
        <row r="125">
          <cell r="A125" t="str">
            <v>04.210.13</v>
          </cell>
          <cell r="B125" t="str">
            <v>CORPO BDCC 1,50X1,50M ALT. 5,00A7,50M</v>
          </cell>
          <cell r="C125" t="str">
            <v>m</v>
          </cell>
          <cell r="D125" t="str">
            <v>DNER-ES-286/97</v>
          </cell>
          <cell r="E125">
            <v>1183.0800000000002</v>
          </cell>
          <cell r="F125">
            <v>386.63</v>
          </cell>
          <cell r="G125">
            <v>1569.71</v>
          </cell>
          <cell r="H125" t="str">
            <v>Arte Correntes</v>
          </cell>
        </row>
        <row r="126">
          <cell r="A126" t="str">
            <v>04.210.17</v>
          </cell>
          <cell r="B126" t="str">
            <v>CORPO BDCC 1,50X1,50M ALT. 7,50A10,00M</v>
          </cell>
          <cell r="C126" t="str">
            <v>m</v>
          </cell>
          <cell r="D126" t="str">
            <v>DNER-ES-286/97</v>
          </cell>
          <cell r="E126">
            <v>1298.5800000000002</v>
          </cell>
          <cell r="F126">
            <v>424.38</v>
          </cell>
          <cell r="G126">
            <v>1722.96</v>
          </cell>
          <cell r="H126" t="str">
            <v>Arte Correntes</v>
          </cell>
        </row>
        <row r="127">
          <cell r="A127" t="str">
            <v>04.210.21</v>
          </cell>
          <cell r="B127" t="str">
            <v>CORPO BDCC 1,50X1,50M ALT. 10,00A12,50M</v>
          </cell>
          <cell r="C127" t="str">
            <v>m</v>
          </cell>
          <cell r="D127" t="str">
            <v>DNER-ES-286/97</v>
          </cell>
          <cell r="E127">
            <v>1479.23</v>
          </cell>
          <cell r="F127">
            <v>483.41</v>
          </cell>
          <cell r="G127">
            <v>1962.64</v>
          </cell>
          <cell r="H127" t="str">
            <v>Arte Correntes</v>
          </cell>
        </row>
        <row r="128">
          <cell r="A128" t="str">
            <v>04.210.25</v>
          </cell>
          <cell r="B128" t="str">
            <v>CORPO BDCC 1,50X1,50M ALT. 12,50A15,00M</v>
          </cell>
          <cell r="C128" t="str">
            <v>m</v>
          </cell>
          <cell r="D128" t="str">
            <v>DNER-ES-286/97</v>
          </cell>
          <cell r="E128">
            <v>1570.21</v>
          </cell>
          <cell r="F128">
            <v>513.14</v>
          </cell>
          <cell r="G128">
            <v>2083.35</v>
          </cell>
          <cell r="H128" t="str">
            <v>Arte Correntes</v>
          </cell>
        </row>
        <row r="129">
          <cell r="A129" t="str">
            <v>04.210.27</v>
          </cell>
          <cell r="B129" t="str">
            <v>CORPO BDCC 2,50X2,50M ALT. 12,50A15,00M</v>
          </cell>
          <cell r="C129" t="str">
            <v>m</v>
          </cell>
          <cell r="D129" t="str">
            <v>DNER-ES-286/97</v>
          </cell>
          <cell r="E129">
            <v>3364.87</v>
          </cell>
          <cell r="F129">
            <v>1099.6400000000001</v>
          </cell>
          <cell r="G129">
            <v>4464.51</v>
          </cell>
          <cell r="H129" t="str">
            <v>Arte Correntes</v>
          </cell>
        </row>
        <row r="130">
          <cell r="A130" t="str">
            <v>04.211.01</v>
          </cell>
          <cell r="B130" t="str">
            <v>BOCA BDCC 1,50X1,50M NORMAL</v>
          </cell>
          <cell r="C130" t="str">
            <v>unid.</v>
          </cell>
          <cell r="D130" t="str">
            <v>DNER-ES-286/97</v>
          </cell>
          <cell r="E130">
            <v>4375.45</v>
          </cell>
          <cell r="F130">
            <v>1429.9</v>
          </cell>
          <cell r="G130">
            <v>5805.35</v>
          </cell>
          <cell r="H130" t="str">
            <v>Arte Correntes</v>
          </cell>
        </row>
        <row r="131">
          <cell r="A131" t="str">
            <v>04.211.02</v>
          </cell>
          <cell r="B131" t="str">
            <v>BOCA BDCC 2,00X2,00M NORMAL</v>
          </cell>
          <cell r="C131" t="str">
            <v>unid.</v>
          </cell>
          <cell r="D131" t="str">
            <v>DNER-ES-286/97</v>
          </cell>
          <cell r="E131">
            <v>6845.93</v>
          </cell>
          <cell r="F131">
            <v>2237.25</v>
          </cell>
          <cell r="G131">
            <v>9083.18</v>
          </cell>
          <cell r="H131" t="str">
            <v>Arte Correntes</v>
          </cell>
        </row>
        <row r="132">
          <cell r="A132" t="str">
            <v>04.211.03</v>
          </cell>
          <cell r="B132" t="str">
            <v>BOCA BDCC 2,50X2,50M NORMAL</v>
          </cell>
          <cell r="C132" t="str">
            <v>unid.</v>
          </cell>
          <cell r="D132" t="str">
            <v>DNER-ES-286/97</v>
          </cell>
          <cell r="E132">
            <v>9638.8799999999992</v>
          </cell>
          <cell r="F132">
            <v>3149.99</v>
          </cell>
          <cell r="G132">
            <v>12788.869999999999</v>
          </cell>
          <cell r="H132" t="str">
            <v>Arte Correntes</v>
          </cell>
        </row>
        <row r="133">
          <cell r="A133" t="str">
            <v>04.220.05</v>
          </cell>
          <cell r="B133" t="str">
            <v>CORPO BTCC 1,50X1,50M ALT. 1,00A2,50M</v>
          </cell>
          <cell r="C133" t="str">
            <v>m</v>
          </cell>
          <cell r="D133" t="str">
            <v>DNER-ES-286/97</v>
          </cell>
          <cell r="E133">
            <v>1418.54</v>
          </cell>
          <cell r="F133">
            <v>463.58</v>
          </cell>
          <cell r="G133">
            <v>1882.12</v>
          </cell>
          <cell r="H133" t="str">
            <v>Arte Correntes</v>
          </cell>
        </row>
        <row r="134">
          <cell r="A134" t="str">
            <v>04.220.10</v>
          </cell>
          <cell r="B134" t="str">
            <v>CORPO BTCC 2,00X2,00M ALT. 2,50A5,00M</v>
          </cell>
          <cell r="C134" t="str">
            <v>m</v>
          </cell>
          <cell r="D134" t="str">
            <v>DNER-ES-286/97</v>
          </cell>
          <cell r="E134">
            <v>2297.6600000000003</v>
          </cell>
          <cell r="F134">
            <v>750.88</v>
          </cell>
          <cell r="G134">
            <v>3048.5400000000004</v>
          </cell>
          <cell r="H134" t="str">
            <v>Arte Correntes</v>
          </cell>
        </row>
        <row r="135">
          <cell r="A135" t="str">
            <v>04.220.13</v>
          </cell>
          <cell r="B135" t="str">
            <v>CORPO BTCC 1,50X1,50M ALT. 5,00A7,50M</v>
          </cell>
          <cell r="C135" t="str">
            <v>m</v>
          </cell>
          <cell r="D135" t="str">
            <v>DNER-ES-286/97</v>
          </cell>
          <cell r="E135">
            <v>1632.17</v>
          </cell>
          <cell r="F135">
            <v>533.39</v>
          </cell>
          <cell r="G135">
            <v>2165.56</v>
          </cell>
          <cell r="H135" t="str">
            <v>Arte Correntes</v>
          </cell>
        </row>
        <row r="136">
          <cell r="A136" t="str">
            <v>04.220.18</v>
          </cell>
          <cell r="B136" t="str">
            <v>CORPO BTCC 2,00X2,00M ALT. 7,50A10,00M</v>
          </cell>
          <cell r="C136" t="str">
            <v>m</v>
          </cell>
          <cell r="D136" t="str">
            <v>DNER-ES-286/97</v>
          </cell>
          <cell r="E136">
            <v>2926.1600000000003</v>
          </cell>
          <cell r="F136">
            <v>956.27</v>
          </cell>
          <cell r="G136">
            <v>3882.4300000000003</v>
          </cell>
          <cell r="H136" t="str">
            <v>Arte Correntes</v>
          </cell>
        </row>
        <row r="137">
          <cell r="A137" t="str">
            <v>04.220.19</v>
          </cell>
          <cell r="B137" t="str">
            <v>CORPO BTCC 2,50X2,50M ALT. 7,50A10,00M</v>
          </cell>
          <cell r="C137" t="str">
            <v>m</v>
          </cell>
          <cell r="D137" t="str">
            <v>DNER-ES-286/97</v>
          </cell>
          <cell r="E137">
            <v>4074.2900000000004</v>
          </cell>
          <cell r="F137">
            <v>1331.48</v>
          </cell>
          <cell r="G137">
            <v>5405.77</v>
          </cell>
          <cell r="H137" t="str">
            <v>Arte Correntes</v>
          </cell>
        </row>
        <row r="138">
          <cell r="A138" t="str">
            <v>04.220.26</v>
          </cell>
          <cell r="B138" t="str">
            <v>CORPO BTCC 2,00X2,00M ALT. 12,50A15,00M</v>
          </cell>
          <cell r="C138" t="str">
            <v>m</v>
          </cell>
          <cell r="D138" t="str">
            <v>DNER-ES-286/97</v>
          </cell>
          <cell r="E138">
            <v>3421.99</v>
          </cell>
          <cell r="F138">
            <v>1118.31</v>
          </cell>
          <cell r="G138">
            <v>4540.2999999999993</v>
          </cell>
          <cell r="H138" t="str">
            <v>Arte Correntes</v>
          </cell>
        </row>
        <row r="139">
          <cell r="A139" t="str">
            <v>04.221.01</v>
          </cell>
          <cell r="B139" t="str">
            <v>BOCA BTCC 1,50X1,50M NORMAL</v>
          </cell>
          <cell r="C139" t="str">
            <v>unid.</v>
          </cell>
          <cell r="D139" t="str">
            <v>DNER-ES-286/97</v>
          </cell>
          <cell r="E139">
            <v>5448.53</v>
          </cell>
          <cell r="F139">
            <v>1780.58</v>
          </cell>
          <cell r="G139">
            <v>7229.11</v>
          </cell>
          <cell r="H139" t="str">
            <v>Arte Correntes</v>
          </cell>
        </row>
        <row r="140">
          <cell r="A140" t="str">
            <v>04.221.02</v>
          </cell>
          <cell r="B140" t="str">
            <v>BOCA BTCC 2,00X2,00M NORMAL</v>
          </cell>
          <cell r="C140" t="str">
            <v>unid.</v>
          </cell>
          <cell r="D140" t="str">
            <v>DNER-ES-286/97</v>
          </cell>
          <cell r="E140">
            <v>8341.69</v>
          </cell>
          <cell r="F140">
            <v>2726.06</v>
          </cell>
          <cell r="G140">
            <v>11067.75</v>
          </cell>
          <cell r="H140" t="str">
            <v>Arte Correntes</v>
          </cell>
        </row>
        <row r="141">
          <cell r="A141" t="str">
            <v>04.221.03</v>
          </cell>
          <cell r="B141" t="str">
            <v>BOCA BTCC 2,50X2,50M NORMAL</v>
          </cell>
          <cell r="C141" t="str">
            <v>unid.</v>
          </cell>
          <cell r="D141" t="str">
            <v>DNER-ES-286/97</v>
          </cell>
          <cell r="E141">
            <v>11777.64</v>
          </cell>
          <cell r="F141">
            <v>3848.93</v>
          </cell>
          <cell r="G141">
            <v>15626.57</v>
          </cell>
          <cell r="H141" t="str">
            <v>Arte Correntes</v>
          </cell>
        </row>
        <row r="142">
          <cell r="A142" t="str">
            <v>04.999.01</v>
          </cell>
          <cell r="B142" t="str">
            <v>REMOÇÃO DE BUEIROS EXISTENTES</v>
          </cell>
          <cell r="C142" t="str">
            <v>m</v>
          </cell>
          <cell r="D142" t="str">
            <v>DNER-ES-296/97</v>
          </cell>
          <cell r="E142">
            <v>23.01</v>
          </cell>
          <cell r="F142">
            <v>7.52</v>
          </cell>
          <cell r="G142">
            <v>30.53</v>
          </cell>
          <cell r="H142" t="str">
            <v>Arte Correntes</v>
          </cell>
        </row>
        <row r="143">
          <cell r="A143" t="str">
            <v>PAVIMENTAÇÃO</v>
          </cell>
        </row>
        <row r="144">
          <cell r="A144" t="str">
            <v>02.110.00</v>
          </cell>
          <cell r="B144" t="str">
            <v>REGULARIZAÇÃO DO SUB-LEITO</v>
          </cell>
          <cell r="C144" t="str">
            <v>m²</v>
          </cell>
          <cell r="D144" t="str">
            <v>DNER-ES-299/97</v>
          </cell>
          <cell r="E144">
            <v>0.25</v>
          </cell>
          <cell r="F144">
            <v>0.08</v>
          </cell>
          <cell r="G144">
            <v>0.33</v>
          </cell>
          <cell r="H144" t="str">
            <v>Pavimentação</v>
          </cell>
        </row>
        <row r="145">
          <cell r="A145" t="str">
            <v>02.241.01</v>
          </cell>
          <cell r="B145" t="str">
            <v>BASE DE SOLO CIMENTO C/MISTURA EM USINA OU NA PISTA C/RECICLADORA</v>
          </cell>
          <cell r="C145" t="str">
            <v>m³</v>
          </cell>
          <cell r="D145" t="str">
            <v>DNER-ES-305/97</v>
          </cell>
          <cell r="E145">
            <v>82.100000000000009</v>
          </cell>
          <cell r="F145">
            <v>26.83</v>
          </cell>
          <cell r="G145">
            <v>108.93</v>
          </cell>
          <cell r="H145" t="str">
            <v>Pavimentação</v>
          </cell>
        </row>
        <row r="146">
          <cell r="A146" t="str">
            <v>02.243.01</v>
          </cell>
          <cell r="B146" t="str">
            <v>SUB-BASE DE SOLO MELHORADO C/CIMENTO MISTURA EM USINA OU NA PISTA C/RECICLADORA</v>
          </cell>
          <cell r="C146" t="str">
            <v>m³</v>
          </cell>
          <cell r="D146" t="str">
            <v>DNER-ES-302/97</v>
          </cell>
          <cell r="E146">
            <v>52.480000000000004</v>
          </cell>
          <cell r="F146">
            <v>17.149999999999999</v>
          </cell>
          <cell r="G146">
            <v>69.63</v>
          </cell>
          <cell r="H146" t="str">
            <v>Pavimentação</v>
          </cell>
        </row>
        <row r="147">
          <cell r="A147" t="str">
            <v>02.270.00</v>
          </cell>
          <cell r="B147" t="str">
            <v>RECICLAGEM E ESTABILIZAÇÃO DA BASE C/ADIÇÃO DE CMENTO EXECUTADO C/RECICLADORA</v>
          </cell>
          <cell r="C147" t="str">
            <v>m³</v>
          </cell>
          <cell r="D147" t="str">
            <v>EP-405/2000</v>
          </cell>
          <cell r="E147">
            <v>53.51</v>
          </cell>
          <cell r="F147">
            <v>17.489999999999998</v>
          </cell>
          <cell r="G147">
            <v>71</v>
          </cell>
          <cell r="H147" t="str">
            <v>Pavimentação</v>
          </cell>
        </row>
        <row r="148">
          <cell r="A148" t="str">
            <v>02.300.00</v>
          </cell>
          <cell r="B148" t="str">
            <v>IMPRIMAÇÃO</v>
          </cell>
          <cell r="C148" t="str">
            <v>m²</v>
          </cell>
          <cell r="D148" t="str">
            <v>DNER-ES-306/97</v>
          </cell>
          <cell r="E148">
            <v>7.0000000000000007E-2</v>
          </cell>
          <cell r="F148">
            <v>0.02</v>
          </cell>
          <cell r="G148">
            <v>9.0000000000000011E-2</v>
          </cell>
          <cell r="H148" t="str">
            <v>Pavimentação</v>
          </cell>
        </row>
        <row r="149">
          <cell r="A149" t="str">
            <v>02.400.00</v>
          </cell>
          <cell r="B149" t="str">
            <v>PINTURA DE LIGAÇÃO</v>
          </cell>
          <cell r="C149" t="str">
            <v>m²</v>
          </cell>
          <cell r="D149" t="str">
            <v>DNER-ES-307/97</v>
          </cell>
          <cell r="E149">
            <v>0.05</v>
          </cell>
          <cell r="F149">
            <v>0.02</v>
          </cell>
          <cell r="G149">
            <v>7.0000000000000007E-2</v>
          </cell>
          <cell r="H149" t="str">
            <v>Pavimentação</v>
          </cell>
        </row>
        <row r="150">
          <cell r="A150" t="str">
            <v>02.501.01</v>
          </cell>
          <cell r="B150" t="str">
            <v>TRATAMENTO SUPERFICIAL DUPLO COM EMULSÃO</v>
          </cell>
          <cell r="C150" t="str">
            <v>m²</v>
          </cell>
          <cell r="D150" t="str">
            <v>DNER-ES-308/97</v>
          </cell>
          <cell r="E150">
            <v>1.9500000000000002</v>
          </cell>
          <cell r="F150">
            <v>0.64</v>
          </cell>
          <cell r="G150">
            <v>2.5900000000000003</v>
          </cell>
          <cell r="H150" t="str">
            <v>Pavimentação</v>
          </cell>
        </row>
        <row r="151">
          <cell r="A151" t="str">
            <v>02.540.01</v>
          </cell>
          <cell r="B151" t="str">
            <v>CONCRETO BETUMINOSO USINADO A QUENTE - CAPA ROLAMENTO (FAIXA C)</v>
          </cell>
          <cell r="C151" t="str">
            <v>t</v>
          </cell>
          <cell r="D151" t="str">
            <v>DNER-ES-313/97</v>
          </cell>
          <cell r="E151">
            <v>57.38</v>
          </cell>
          <cell r="F151">
            <v>18.75</v>
          </cell>
          <cell r="G151">
            <v>76.13</v>
          </cell>
          <cell r="H151" t="str">
            <v>Pavimentação</v>
          </cell>
        </row>
        <row r="152">
          <cell r="A152" t="str">
            <v>02.540.02</v>
          </cell>
          <cell r="B152" t="str">
            <v>CONCRETO BETUMINOSO USINADO A QUENTE - BINDER (FAIXA B)</v>
          </cell>
          <cell r="C152" t="str">
            <v>t</v>
          </cell>
          <cell r="D152" t="str">
            <v>DNER-ES-313/97</v>
          </cell>
          <cell r="E152">
            <v>45.78</v>
          </cell>
          <cell r="F152">
            <v>14.96</v>
          </cell>
          <cell r="G152">
            <v>60.74</v>
          </cell>
          <cell r="H152" t="str">
            <v>Pavimentação</v>
          </cell>
        </row>
        <row r="153">
          <cell r="A153" t="str">
            <v>02.902.00</v>
          </cell>
          <cell r="B153" t="str">
            <v>REMOÇÃO MECANIZADA DA CAMADA GRANULAR DO PAVIMENTO</v>
          </cell>
          <cell r="C153" t="str">
            <v>m³</v>
          </cell>
          <cell r="D153" t="str">
            <v>DNER-ES-281/97</v>
          </cell>
          <cell r="E153">
            <v>4.03</v>
          </cell>
          <cell r="F153">
            <v>1.32</v>
          </cell>
          <cell r="G153">
            <v>5.3500000000000005</v>
          </cell>
          <cell r="H153" t="str">
            <v>Pavimentação</v>
          </cell>
        </row>
        <row r="154">
          <cell r="A154" t="str">
            <v>AQUISIÇÃO DE MATERIAL BETUMINOSO</v>
          </cell>
        </row>
        <row r="155">
          <cell r="A155" t="str">
            <v>09.600.01</v>
          </cell>
          <cell r="B155" t="str">
            <v>FORNECIMENTO DE RR-2C</v>
          </cell>
          <cell r="C155" t="str">
            <v>t</v>
          </cell>
          <cell r="E155">
            <v>592.9</v>
          </cell>
          <cell r="F155">
            <v>193.76</v>
          </cell>
          <cell r="G155">
            <v>786.66</v>
          </cell>
          <cell r="H155" t="str">
            <v>Betuminoso</v>
          </cell>
        </row>
        <row r="156">
          <cell r="A156" t="str">
            <v>09.600.02</v>
          </cell>
          <cell r="B156" t="str">
            <v>FORNECIMENTO DE CM-30</v>
          </cell>
          <cell r="C156" t="str">
            <v>t</v>
          </cell>
          <cell r="E156">
            <v>949.7</v>
          </cell>
          <cell r="F156">
            <v>310.36</v>
          </cell>
          <cell r="G156">
            <v>1260.06</v>
          </cell>
          <cell r="H156" t="str">
            <v>Betuminoso</v>
          </cell>
        </row>
        <row r="157">
          <cell r="A157" t="str">
            <v>09.600.03</v>
          </cell>
          <cell r="B157" t="str">
            <v>FORNECIMENTO DE CAP-20</v>
          </cell>
          <cell r="C157" t="str">
            <v>t</v>
          </cell>
          <cell r="E157">
            <v>688.1</v>
          </cell>
          <cell r="F157">
            <v>224.87</v>
          </cell>
          <cell r="G157">
            <v>912.97</v>
          </cell>
          <cell r="H157" t="str">
            <v>Betuminoso</v>
          </cell>
        </row>
        <row r="158">
          <cell r="A158" t="str">
            <v>09.600.07</v>
          </cell>
          <cell r="B158" t="str">
            <v>FORNECIMENTO DE RR-1C</v>
          </cell>
          <cell r="C158" t="str">
            <v>t</v>
          </cell>
          <cell r="E158">
            <v>527.4</v>
          </cell>
          <cell r="F158">
            <v>172.35</v>
          </cell>
          <cell r="G158">
            <v>699.75</v>
          </cell>
          <cell r="H158" t="str">
            <v>Betuminoso</v>
          </cell>
        </row>
        <row r="159">
          <cell r="A159" t="str">
            <v>TRANSPORTE DE MATERIAL BETUMINOSO</v>
          </cell>
        </row>
        <row r="160">
          <cell r="A160" t="str">
            <v>00.112.90</v>
          </cell>
          <cell r="B160" t="str">
            <v>TRANSPORTE COMERCIAL MATERIAL BETUMINOSO A QUENTE</v>
          </cell>
          <cell r="C160" t="str">
            <v>t</v>
          </cell>
          <cell r="E160">
            <v>123.23</v>
          </cell>
          <cell r="F160">
            <v>40.270000000000003</v>
          </cell>
          <cell r="G160">
            <v>163.5</v>
          </cell>
          <cell r="H160" t="str">
            <v>Betuminoso</v>
          </cell>
        </row>
        <row r="161">
          <cell r="A161" t="str">
            <v>00.112.91</v>
          </cell>
          <cell r="B161" t="str">
            <v>TRANSPORTE COMERCIAL MATERIAL BETUMINOSO A FRIO</v>
          </cell>
          <cell r="C161" t="str">
            <v>t</v>
          </cell>
          <cell r="E161">
            <v>111.07</v>
          </cell>
          <cell r="F161">
            <v>36.299999999999997</v>
          </cell>
          <cell r="G161">
            <v>147.37</v>
          </cell>
          <cell r="H161" t="str">
            <v>Betuminoso</v>
          </cell>
        </row>
        <row r="162">
          <cell r="A162" t="str">
            <v>OBRAS COMPLEMENTARES</v>
          </cell>
        </row>
        <row r="163">
          <cell r="A163" t="str">
            <v>01.513.01</v>
          </cell>
          <cell r="B163" t="str">
            <v>COMPACTAÇÃO DE MATERIAL EM BOTA-FORA</v>
          </cell>
          <cell r="C163" t="str">
            <v>m³</v>
          </cell>
          <cell r="D163" t="str">
            <v>DNER-ES-282/97</v>
          </cell>
          <cell r="E163">
            <v>0.63</v>
          </cell>
          <cell r="F163">
            <v>0.21</v>
          </cell>
          <cell r="G163">
            <v>0.84</v>
          </cell>
          <cell r="H163" t="str">
            <v>Obras Comp.</v>
          </cell>
        </row>
        <row r="164">
          <cell r="A164" t="str">
            <v>04.999.07</v>
          </cell>
          <cell r="B164" t="str">
            <v>DEMOLIÇÃO DE DISPOSITIVOS DE CONCRETO</v>
          </cell>
          <cell r="C164" t="str">
            <v>m³</v>
          </cell>
          <cell r="D164" t="str">
            <v>DNER-ES-296/97</v>
          </cell>
          <cell r="E164">
            <v>46.36</v>
          </cell>
          <cell r="F164">
            <v>15.15</v>
          </cell>
          <cell r="G164">
            <v>61.51</v>
          </cell>
          <cell r="H164" t="str">
            <v>Obras Comp.</v>
          </cell>
        </row>
        <row r="165">
          <cell r="A165" t="str">
            <v>06.010.01</v>
          </cell>
          <cell r="B165" t="str">
            <v>DEFENSA SEMI-MALEÁVEL SIMPLES</v>
          </cell>
          <cell r="C165" t="str">
            <v>m</v>
          </cell>
          <cell r="D165" t="str">
            <v>DNER-ES-144/85</v>
          </cell>
          <cell r="E165">
            <v>62.06</v>
          </cell>
          <cell r="F165">
            <v>20.28</v>
          </cell>
          <cell r="G165">
            <v>82.34</v>
          </cell>
          <cell r="H165" t="str">
            <v>Obras Comp.</v>
          </cell>
        </row>
        <row r="166">
          <cell r="A166" t="str">
            <v>06.400.01</v>
          </cell>
          <cell r="B166" t="str">
            <v>CERCAS DE ARAME FARPADO COM MOURÃO DE CONCRETO SEÇÃO QUADRADA</v>
          </cell>
          <cell r="C166" t="str">
            <v>m</v>
          </cell>
          <cell r="D166" t="str">
            <v>DNER-ES-338/97</v>
          </cell>
          <cell r="E166">
            <v>9.6300000000000008</v>
          </cell>
          <cell r="F166">
            <v>3.15</v>
          </cell>
          <cell r="G166">
            <v>12.780000000000001</v>
          </cell>
          <cell r="H166" t="str">
            <v>Obras Comp.</v>
          </cell>
        </row>
        <row r="167">
          <cell r="A167" t="str">
            <v>SINALIZAÇÃO</v>
          </cell>
        </row>
        <row r="168">
          <cell r="A168" t="str">
            <v>06.110.01</v>
          </cell>
          <cell r="B168" t="str">
            <v>PINTURA DE FAIXA C/TERMOPLÁSTICO - 3 ANOS (P/ASPERSÃO)</v>
          </cell>
          <cell r="C168" t="str">
            <v>m²</v>
          </cell>
          <cell r="D168" t="str">
            <v>DNER-ES-339/97</v>
          </cell>
          <cell r="E168">
            <v>17.150000000000002</v>
          </cell>
          <cell r="F168">
            <v>5.6</v>
          </cell>
          <cell r="G168">
            <v>22.75</v>
          </cell>
          <cell r="H168" t="str">
            <v>Sinalização</v>
          </cell>
        </row>
        <row r="169">
          <cell r="A169" t="str">
            <v>06.110.02</v>
          </cell>
          <cell r="B169" t="str">
            <v>PINTURA ZETAS E ZEBRADO TERMOPLÁSTICO - 3 ANOS (P/ASPERSÃO)</v>
          </cell>
          <cell r="C169" t="str">
            <v>m²</v>
          </cell>
          <cell r="D169" t="str">
            <v>DNER-ES-339/97</v>
          </cell>
          <cell r="E169">
            <v>20.909999999999997</v>
          </cell>
          <cell r="F169">
            <v>6.83</v>
          </cell>
          <cell r="G169">
            <v>27.739999999999995</v>
          </cell>
          <cell r="H169" t="str">
            <v>Sinalização</v>
          </cell>
        </row>
        <row r="170">
          <cell r="A170" t="str">
            <v>06.120.01</v>
          </cell>
          <cell r="B170" t="str">
            <v>FORNECIMENTO E COLOCAÇÃO DE TACHA REFLETIVA MONODIRECIONAL</v>
          </cell>
          <cell r="C170" t="str">
            <v>unid.</v>
          </cell>
          <cell r="D170" t="str">
            <v>DNER-ES-339/97</v>
          </cell>
          <cell r="E170">
            <v>5.07</v>
          </cell>
          <cell r="F170">
            <v>1.66</v>
          </cell>
          <cell r="G170">
            <v>6.73</v>
          </cell>
          <cell r="H170" t="str">
            <v>Sinalização</v>
          </cell>
        </row>
        <row r="171">
          <cell r="A171" t="str">
            <v>06.120.11</v>
          </cell>
          <cell r="B171" t="str">
            <v>FORNECIMENTO E COLOCAÇÃO DE TACHÃO REFLETIVO MONODIRECIONAL</v>
          </cell>
          <cell r="C171" t="str">
            <v>unid.</v>
          </cell>
          <cell r="D171" t="str">
            <v>DNER-ES-339/97</v>
          </cell>
          <cell r="E171">
            <v>13.870000000000001</v>
          </cell>
          <cell r="F171">
            <v>4.53</v>
          </cell>
          <cell r="G171">
            <v>18.400000000000002</v>
          </cell>
          <cell r="H171" t="str">
            <v>Sinalização</v>
          </cell>
        </row>
        <row r="172">
          <cell r="A172" t="str">
            <v>06.121.01</v>
          </cell>
          <cell r="B172" t="str">
            <v>FORNECIMENTO E COLOCAÇÃO DE TACHA REFLETIVA BIDIRECIONAL</v>
          </cell>
          <cell r="C172" t="str">
            <v>unid.</v>
          </cell>
          <cell r="D172" t="str">
            <v>DNER-ES-339/97</v>
          </cell>
          <cell r="E172">
            <v>6.01</v>
          </cell>
          <cell r="F172">
            <v>1.96</v>
          </cell>
          <cell r="G172">
            <v>7.97</v>
          </cell>
          <cell r="H172" t="str">
            <v>Sinalização</v>
          </cell>
        </row>
        <row r="173">
          <cell r="A173" t="str">
            <v>06.121.11</v>
          </cell>
          <cell r="B173" t="str">
            <v>FORNECIMENTO E COLOCAÇÃO DE TACHÃO REFLETIVO BIDIRECIONAL</v>
          </cell>
          <cell r="C173" t="str">
            <v>unid.</v>
          </cell>
          <cell r="D173" t="str">
            <v>DNER-ES-339/97</v>
          </cell>
          <cell r="E173">
            <v>14.57</v>
          </cell>
          <cell r="F173">
            <v>4.76</v>
          </cell>
          <cell r="G173">
            <v>19.329999999999998</v>
          </cell>
          <cell r="H173" t="str">
            <v>Sinalização</v>
          </cell>
        </row>
        <row r="174">
          <cell r="A174" t="str">
            <v>06.200.01</v>
          </cell>
          <cell r="B174" t="str">
            <v>PLACA DE SINALIZACAO SEMI-REFLETIVA</v>
          </cell>
          <cell r="C174" t="str">
            <v>m²</v>
          </cell>
          <cell r="D174" t="str">
            <v>DNER-ES-340/97</v>
          </cell>
          <cell r="E174">
            <v>129.26</v>
          </cell>
          <cell r="F174">
            <v>42.24</v>
          </cell>
          <cell r="G174">
            <v>171.5</v>
          </cell>
          <cell r="H174" t="str">
            <v>Sinalização</v>
          </cell>
        </row>
        <row r="175">
          <cell r="A175" t="str">
            <v>06.210.01</v>
          </cell>
          <cell r="B175" t="str">
            <v>PÓRTICO METÁLICO</v>
          </cell>
          <cell r="C175" t="str">
            <v>unid.</v>
          </cell>
          <cell r="D175" t="str">
            <v>DNER-ES-340/97</v>
          </cell>
          <cell r="E175">
            <v>13915.080000000002</v>
          </cell>
          <cell r="F175">
            <v>4547.45</v>
          </cell>
          <cell r="G175">
            <v>18462.530000000002</v>
          </cell>
          <cell r="H175" t="str">
            <v>Sinalização</v>
          </cell>
        </row>
        <row r="176">
          <cell r="A176" t="str">
            <v>06.230.01</v>
          </cell>
          <cell r="B176" t="str">
            <v>FORNECIMENTO E COLOCAÇÃO DE BALIZADOR DE CONCRETO</v>
          </cell>
          <cell r="C176" t="str">
            <v>unid.</v>
          </cell>
          <cell r="D176" t="str">
            <v>DNER-ES-340/97</v>
          </cell>
          <cell r="E176">
            <v>10.039999999999999</v>
          </cell>
          <cell r="F176">
            <v>3.28</v>
          </cell>
          <cell r="G176">
            <v>13.319999999999999</v>
          </cell>
          <cell r="H176" t="str">
            <v>Sinalização</v>
          </cell>
        </row>
        <row r="177">
          <cell r="A177" t="str">
            <v>MEIO AMBIENTE</v>
          </cell>
        </row>
        <row r="178">
          <cell r="A178" t="str">
            <v>05.100.00</v>
          </cell>
          <cell r="B178" t="str">
            <v>ENLEIVAMENTO</v>
          </cell>
          <cell r="C178" t="str">
            <v>m²</v>
          </cell>
          <cell r="D178" t="str">
            <v>DNER-ES-341/97</v>
          </cell>
          <cell r="E178">
            <v>2.57</v>
          </cell>
          <cell r="F178">
            <v>0.84</v>
          </cell>
          <cell r="G178">
            <v>3.4099999999999997</v>
          </cell>
          <cell r="H178" t="str">
            <v>Meio Ambiente</v>
          </cell>
        </row>
        <row r="179">
          <cell r="A179" t="str">
            <v>05.101.01</v>
          </cell>
          <cell r="B179" t="str">
            <v>REVESTIMENTO VEGETAL COM MUDAS</v>
          </cell>
          <cell r="C179" t="str">
            <v>m²</v>
          </cell>
          <cell r="D179" t="str">
            <v>DNER-ES-341/97</v>
          </cell>
          <cell r="E179">
            <v>2.15</v>
          </cell>
          <cell r="F179">
            <v>0.7</v>
          </cell>
          <cell r="G179">
            <v>2.8499999999999996</v>
          </cell>
          <cell r="H179" t="str">
            <v>Meio Ambiente</v>
          </cell>
        </row>
        <row r="180">
          <cell r="A180" t="str">
            <v>05.102.00</v>
          </cell>
          <cell r="B180" t="str">
            <v>HIDROSSEMEADURA</v>
          </cell>
          <cell r="C180" t="str">
            <v>m²</v>
          </cell>
          <cell r="D180" t="str">
            <v>DNER-ES-341/97</v>
          </cell>
          <cell r="E180">
            <v>0.73</v>
          </cell>
          <cell r="F180">
            <v>0.24</v>
          </cell>
          <cell r="G180">
            <v>0.97</v>
          </cell>
          <cell r="H180" t="str">
            <v>Meio Ambiente</v>
          </cell>
        </row>
        <row r="181">
          <cell r="A181" t="str">
            <v>05.999.01</v>
          </cell>
          <cell r="B181" t="str">
            <v>PLANTIO DE ÁRVORES E ARBUSTOS</v>
          </cell>
          <cell r="C181" t="str">
            <v>unid.</v>
          </cell>
          <cell r="D181" t="str">
            <v>EC-MA-01</v>
          </cell>
          <cell r="E181">
            <v>4.4800000000000004</v>
          </cell>
          <cell r="F181">
            <v>1.46</v>
          </cell>
          <cell r="G181">
            <v>5.94</v>
          </cell>
          <cell r="H181" t="str">
            <v>Meio Ambiente</v>
          </cell>
        </row>
        <row r="182">
          <cell r="A182" t="str">
            <v>OBRAS DE ARTE ESPECIAIS</v>
          </cell>
        </row>
        <row r="183">
          <cell r="A183" t="str">
            <v>01.580.02</v>
          </cell>
          <cell r="B183" t="str">
            <v>FORNECIMENTO, PREPARO E POSICIONAMENTO DE AÇO CA-50</v>
          </cell>
          <cell r="C183" t="str">
            <v>kg</v>
          </cell>
          <cell r="D183" t="str">
            <v>DNER-ES 331/97</v>
          </cell>
          <cell r="E183">
            <v>2.8699999999999997</v>
          </cell>
          <cell r="F183">
            <v>0.94</v>
          </cell>
          <cell r="G183">
            <v>3.8099999999999996</v>
          </cell>
          <cell r="H183" t="str">
            <v>OAE</v>
          </cell>
        </row>
        <row r="184">
          <cell r="A184" t="str">
            <v>01.580.03</v>
          </cell>
          <cell r="B184" t="str">
            <v>FORNECIMENTO, PREPARO E POSICIONAMENTO DE AÇO CA-25</v>
          </cell>
          <cell r="C184" t="str">
            <v>kg</v>
          </cell>
          <cell r="D184" t="str">
            <v>DNER-ES 331/97</v>
          </cell>
          <cell r="E184">
            <v>3.01</v>
          </cell>
          <cell r="F184">
            <v>0.98</v>
          </cell>
          <cell r="G184">
            <v>3.9899999999999998</v>
          </cell>
          <cell r="H184" t="str">
            <v>OAE</v>
          </cell>
        </row>
        <row r="185">
          <cell r="A185" t="str">
            <v>03.010.01</v>
          </cell>
          <cell r="B185" t="str">
            <v>ESCAVAÇÃO EM CAVAS DE FUNDAÇÃO S/ESGOTAMENTO</v>
          </cell>
          <cell r="C185" t="str">
            <v>m³</v>
          </cell>
          <cell r="D185" t="str">
            <v>DNER-ES 334/97</v>
          </cell>
          <cell r="E185">
            <v>19.82</v>
          </cell>
          <cell r="F185">
            <v>6.48</v>
          </cell>
          <cell r="G185">
            <v>26.3</v>
          </cell>
          <cell r="H185" t="str">
            <v>OAE</v>
          </cell>
        </row>
        <row r="186">
          <cell r="A186" t="str">
            <v>03.000.02</v>
          </cell>
          <cell r="B186" t="str">
            <v>ESCAVAÇÃO MANUAL DE CAVAS EM MATERIAL 1ª CATEGORIA</v>
          </cell>
          <cell r="C186" t="str">
            <v>m³</v>
          </cell>
          <cell r="D186" t="str">
            <v>DNER-ES 281/97</v>
          </cell>
          <cell r="E186">
            <v>17.48</v>
          </cell>
          <cell r="F186">
            <v>5.71</v>
          </cell>
          <cell r="G186">
            <v>23.19</v>
          </cell>
          <cell r="H186" t="str">
            <v>OAE</v>
          </cell>
        </row>
        <row r="187">
          <cell r="A187" t="str">
            <v>03.119.01</v>
          </cell>
          <cell r="B187" t="str">
            <v>ESCORAMENTO DE MADEIRA PARA OAE</v>
          </cell>
          <cell r="C187" t="str">
            <v>m³</v>
          </cell>
          <cell r="D187" t="str">
            <v>DNER-ES 286/97</v>
          </cell>
          <cell r="E187">
            <v>16.829999999999998</v>
          </cell>
          <cell r="F187">
            <v>5.5</v>
          </cell>
          <cell r="G187">
            <v>22.33</v>
          </cell>
          <cell r="H187" t="str">
            <v>OAE</v>
          </cell>
        </row>
        <row r="188">
          <cell r="A188" t="str">
            <v>03.300.01</v>
          </cell>
          <cell r="B188" t="str">
            <v>CONFECÇÃO E LANÇAMENTO DE CONCRETO MAGRO EM BETONEIRA</v>
          </cell>
          <cell r="C188" t="str">
            <v>m³</v>
          </cell>
          <cell r="D188" t="str">
            <v>DNER-ES 330/97</v>
          </cell>
          <cell r="E188">
            <v>157.06</v>
          </cell>
          <cell r="F188">
            <v>51.33</v>
          </cell>
          <cell r="G188">
            <v>208.39</v>
          </cell>
          <cell r="H188" t="str">
            <v>OAE</v>
          </cell>
        </row>
        <row r="189">
          <cell r="A189" t="str">
            <v>03.323.00</v>
          </cell>
          <cell r="B189" t="str">
            <v>CONCRETO ESTRUTURAL FCK=12MPA</v>
          </cell>
          <cell r="C189" t="str">
            <v>m³</v>
          </cell>
          <cell r="D189" t="str">
            <v>DNER-ES 330/97</v>
          </cell>
          <cell r="E189">
            <v>192.2</v>
          </cell>
          <cell r="F189">
            <v>62.81</v>
          </cell>
          <cell r="G189">
            <v>255.01</v>
          </cell>
          <cell r="H189" t="str">
            <v>OAE</v>
          </cell>
        </row>
        <row r="190">
          <cell r="A190" t="str">
            <v>03.324.00</v>
          </cell>
          <cell r="B190" t="str">
            <v>CONCRETO ESTRUTURAL FCK=15MPA</v>
          </cell>
          <cell r="C190" t="str">
            <v>m³</v>
          </cell>
          <cell r="D190" t="str">
            <v>DNER-ES 330/97</v>
          </cell>
          <cell r="E190">
            <v>200.12</v>
          </cell>
          <cell r="F190">
            <v>65.400000000000006</v>
          </cell>
          <cell r="G190">
            <v>265.52</v>
          </cell>
          <cell r="H190" t="str">
            <v>OAE</v>
          </cell>
        </row>
        <row r="191">
          <cell r="A191" t="str">
            <v>03.325.00</v>
          </cell>
          <cell r="B191" t="str">
            <v>CONCRETO ESTRUTURAL FCK=18MPA</v>
          </cell>
          <cell r="C191" t="str">
            <v>m³</v>
          </cell>
          <cell r="D191" t="str">
            <v>DNER-ES 330/97</v>
          </cell>
          <cell r="E191">
            <v>207.88</v>
          </cell>
          <cell r="F191">
            <v>67.94</v>
          </cell>
          <cell r="G191">
            <v>275.82</v>
          </cell>
          <cell r="H191" t="str">
            <v>OAE</v>
          </cell>
        </row>
        <row r="192">
          <cell r="A192" t="str">
            <v>03.326.00</v>
          </cell>
          <cell r="B192" t="str">
            <v>CONCRETO ESTRUTURAL FCK=20MPA</v>
          </cell>
          <cell r="C192" t="str">
            <v>m³</v>
          </cell>
          <cell r="D192" t="str">
            <v>DNER-ES 330/97</v>
          </cell>
          <cell r="E192">
            <v>214.3</v>
          </cell>
          <cell r="F192">
            <v>70.03</v>
          </cell>
          <cell r="G192">
            <v>284.33000000000004</v>
          </cell>
          <cell r="H192" t="str">
            <v>OAE</v>
          </cell>
        </row>
        <row r="193">
          <cell r="A193" t="str">
            <v>03.326.01</v>
          </cell>
          <cell r="B193" t="str">
            <v>CONCRETO ESTRUTURAL FCK=20MPA ADITIVADO, USINADO</v>
          </cell>
          <cell r="C193" t="str">
            <v>m³</v>
          </cell>
          <cell r="D193" t="str">
            <v>DNER-ES 330/97</v>
          </cell>
          <cell r="E193">
            <v>213.94</v>
          </cell>
          <cell r="F193">
            <v>69.92</v>
          </cell>
          <cell r="G193">
            <v>283.86</v>
          </cell>
          <cell r="H193" t="str">
            <v>OAE</v>
          </cell>
        </row>
        <row r="194">
          <cell r="A194" t="str">
            <v>03.329.00</v>
          </cell>
          <cell r="B194" t="str">
            <v>PAVIMENTAÇÃO EM CONCRETO DE CIMENTO (CONFEC. E LANÇAMENTO)</v>
          </cell>
          <cell r="C194" t="str">
            <v>m³</v>
          </cell>
          <cell r="E194">
            <v>188.71999999999997</v>
          </cell>
          <cell r="F194">
            <v>61.67</v>
          </cell>
          <cell r="G194">
            <v>250.39</v>
          </cell>
          <cell r="H194" t="str">
            <v>OAE</v>
          </cell>
        </row>
        <row r="195">
          <cell r="A195" t="str">
            <v>03.329.01</v>
          </cell>
          <cell r="B195" t="str">
            <v>CONCRETO ESTRUTURAL FCK=25MPA</v>
          </cell>
          <cell r="C195" t="str">
            <v>m³</v>
          </cell>
          <cell r="D195" t="str">
            <v>DNER-ES 330/97</v>
          </cell>
          <cell r="E195">
            <v>229.38</v>
          </cell>
          <cell r="F195">
            <v>74.959999999999994</v>
          </cell>
          <cell r="G195">
            <v>304.33999999999997</v>
          </cell>
          <cell r="H195" t="str">
            <v>OAE</v>
          </cell>
        </row>
        <row r="196">
          <cell r="A196" t="str">
            <v>03.329.04</v>
          </cell>
          <cell r="B196" t="str">
            <v>CONCRETO ESTRUTURAL FCK=35MPA</v>
          </cell>
          <cell r="C196" t="str">
            <v>m³</v>
          </cell>
          <cell r="D196" t="str">
            <v>DNER-ES 330/97</v>
          </cell>
          <cell r="E196">
            <v>244.79999999999998</v>
          </cell>
          <cell r="F196">
            <v>80</v>
          </cell>
          <cell r="G196">
            <v>324.79999999999995</v>
          </cell>
          <cell r="H196" t="str">
            <v>OAE</v>
          </cell>
        </row>
        <row r="197">
          <cell r="A197" t="str">
            <v>03.370.00</v>
          </cell>
          <cell r="B197" t="str">
            <v>FORMAS COMUNS DE MADEIRA</v>
          </cell>
          <cell r="C197" t="str">
            <v>m²</v>
          </cell>
          <cell r="D197" t="str">
            <v>DNER-ES 333/97</v>
          </cell>
          <cell r="E197">
            <v>21.799999999999997</v>
          </cell>
          <cell r="F197">
            <v>7.12</v>
          </cell>
          <cell r="G197">
            <v>28.919999999999998</v>
          </cell>
          <cell r="H197" t="str">
            <v>OAE</v>
          </cell>
        </row>
        <row r="198">
          <cell r="A198" t="str">
            <v>03.371.01</v>
          </cell>
          <cell r="B198" t="str">
            <v>FORMA DE PLACA COMPENSADA RESINADA</v>
          </cell>
          <cell r="C198" t="str">
            <v>m²</v>
          </cell>
          <cell r="D198" t="str">
            <v>DNER-ES 333/97</v>
          </cell>
          <cell r="E198">
            <v>16.11</v>
          </cell>
          <cell r="F198">
            <v>5.26</v>
          </cell>
          <cell r="G198">
            <v>21.369999999999997</v>
          </cell>
          <cell r="H198" t="str">
            <v>OAE</v>
          </cell>
        </row>
        <row r="199">
          <cell r="A199" t="str">
            <v>03.372.01</v>
          </cell>
          <cell r="B199" t="str">
            <v>FORMA P/TUBULÃO</v>
          </cell>
          <cell r="C199" t="str">
            <v>m²</v>
          </cell>
          <cell r="D199" t="str">
            <v>DNER-ES 333/97</v>
          </cell>
          <cell r="E199">
            <v>9.74</v>
          </cell>
          <cell r="F199">
            <v>3.18</v>
          </cell>
          <cell r="G199">
            <v>12.92</v>
          </cell>
          <cell r="H199" t="str">
            <v>OAE</v>
          </cell>
        </row>
        <row r="200">
          <cell r="A200" t="str">
            <v>03.410.21</v>
          </cell>
          <cell r="B200" t="str">
            <v>TUBULÃO A CÉU ABERTO DIAMETRO EXTERNO = 1,40M</v>
          </cell>
          <cell r="C200" t="str">
            <v>m</v>
          </cell>
          <cell r="D200" t="str">
            <v>DNER-ES 334/97</v>
          </cell>
          <cell r="E200">
            <v>859.8</v>
          </cell>
          <cell r="F200">
            <v>280.98</v>
          </cell>
          <cell r="G200">
            <v>1140.78</v>
          </cell>
          <cell r="H200" t="str">
            <v>OAE</v>
          </cell>
        </row>
        <row r="201">
          <cell r="A201" t="str">
            <v>03.411.21</v>
          </cell>
          <cell r="B201" t="str">
            <v>TUBULÃO A.C. Ø=1,40 M PROF.ATÉ 12 M DO LENÇOL FREÁTICO</v>
          </cell>
          <cell r="C201" t="str">
            <v>m</v>
          </cell>
          <cell r="D201" t="str">
            <v>DNER-ES 334/97</v>
          </cell>
          <cell r="E201">
            <v>1696.13</v>
          </cell>
          <cell r="F201">
            <v>554.29999999999995</v>
          </cell>
          <cell r="G201">
            <v>2250.4300000000003</v>
          </cell>
          <cell r="H201" t="str">
            <v>OAE</v>
          </cell>
        </row>
        <row r="202">
          <cell r="A202" t="str">
            <v>03.412.01</v>
          </cell>
          <cell r="B202" t="str">
            <v>ESCAVAÇÃO P/ALARGAMENTO DA BASE TUBULÃO AR COMPRIMIDO</v>
          </cell>
          <cell r="C202" t="str">
            <v>m³</v>
          </cell>
          <cell r="D202" t="str">
            <v>DNER-ES 334/97</v>
          </cell>
          <cell r="E202">
            <v>650.17999999999995</v>
          </cell>
          <cell r="F202">
            <v>212.48</v>
          </cell>
          <cell r="G202">
            <v>862.66</v>
          </cell>
          <cell r="H202" t="str">
            <v>OAE</v>
          </cell>
        </row>
        <row r="203">
          <cell r="A203" t="str">
            <v>03.412.11</v>
          </cell>
          <cell r="B203" t="str">
            <v>FORNECIMENTO, LANÇAMENTO E CONCRETAGEM BASE TUBULÃO DE AR COMPRIMIDO PROF. ATÉ 12M LENÇOL FREÁTICO</v>
          </cell>
          <cell r="C203" t="str">
            <v>m³</v>
          </cell>
          <cell r="D203" t="str">
            <v>DNER-ES 334/97</v>
          </cell>
          <cell r="E203">
            <v>208.77</v>
          </cell>
          <cell r="F203">
            <v>68.23</v>
          </cell>
          <cell r="G203">
            <v>277</v>
          </cell>
          <cell r="H203" t="str">
            <v>OAE</v>
          </cell>
        </row>
        <row r="204">
          <cell r="A204" t="str">
            <v>03.510.00</v>
          </cell>
          <cell r="B204" t="str">
            <v>APARELHO DE APOIO EM NEOPRENE FRETADO</v>
          </cell>
          <cell r="C204" t="str">
            <v>kg</v>
          </cell>
          <cell r="D204" t="str">
            <v>ES-OA-36/96</v>
          </cell>
          <cell r="E204">
            <v>27.86</v>
          </cell>
          <cell r="F204">
            <v>9.1</v>
          </cell>
          <cell r="G204">
            <v>36.96</v>
          </cell>
          <cell r="H204" t="str">
            <v>OAE</v>
          </cell>
        </row>
        <row r="205">
          <cell r="A205" t="str">
            <v>03.700.01</v>
          </cell>
          <cell r="B205" t="str">
            <v>FABRICAÇÃO DE GUARDA CORPO TIPO GM - MOLDADO IN LOCO</v>
          </cell>
          <cell r="C205" t="str">
            <v>m</v>
          </cell>
          <cell r="E205">
            <v>123.51</v>
          </cell>
          <cell r="F205">
            <v>40.36</v>
          </cell>
          <cell r="G205">
            <v>163.87</v>
          </cell>
          <cell r="H205" t="str">
            <v>OAE</v>
          </cell>
        </row>
        <row r="206">
          <cell r="A206" t="str">
            <v>03.920.01</v>
          </cell>
          <cell r="B206" t="str">
            <v>ABERTURA E CONCRETAGEM BASE TUBULÃO A CÉU ABERTO</v>
          </cell>
          <cell r="C206" t="str">
            <v>m³</v>
          </cell>
          <cell r="E206">
            <v>417.25</v>
          </cell>
          <cell r="F206">
            <v>136.36000000000001</v>
          </cell>
          <cell r="G206">
            <v>553.61</v>
          </cell>
          <cell r="H206" t="str">
            <v>OAE</v>
          </cell>
        </row>
        <row r="207">
          <cell r="A207" t="str">
            <v>03.951.01</v>
          </cell>
          <cell r="B207" t="str">
            <v>PINTURA COM NATA DE CIMENTO</v>
          </cell>
          <cell r="C207" t="str">
            <v>m²</v>
          </cell>
          <cell r="E207">
            <v>2.65</v>
          </cell>
          <cell r="F207">
            <v>0.87</v>
          </cell>
          <cell r="G207">
            <v>3.52</v>
          </cell>
          <cell r="H207" t="str">
            <v>OAE</v>
          </cell>
        </row>
        <row r="208">
          <cell r="A208" t="str">
            <v>03.990.02</v>
          </cell>
          <cell r="B208" t="str">
            <v>CONFECÇÃO E COLOCAÇÃO DE CABOS 06 CORDOALHAS D=12,7MM</v>
          </cell>
          <cell r="C208" t="str">
            <v>kg</v>
          </cell>
          <cell r="E208">
            <v>7.05</v>
          </cell>
          <cell r="F208">
            <v>2.2999999999999998</v>
          </cell>
          <cell r="G208">
            <v>9.35</v>
          </cell>
          <cell r="H208" t="str">
            <v>OAE</v>
          </cell>
        </row>
        <row r="209">
          <cell r="A209" t="str">
            <v>03.990.04</v>
          </cell>
          <cell r="B209" t="str">
            <v>CONFECÇÃO E COLOCAÇÃO DE CABOS 12 CORDOALHAS D=12,7MM</v>
          </cell>
          <cell r="C209" t="str">
            <v>kg</v>
          </cell>
          <cell r="E209">
            <v>5.7799999999999994</v>
          </cell>
          <cell r="F209">
            <v>1.89</v>
          </cell>
          <cell r="G209">
            <v>7.669999999999999</v>
          </cell>
          <cell r="H209" t="str">
            <v>OAE</v>
          </cell>
        </row>
        <row r="210">
          <cell r="A210" t="str">
            <v>03.991.02</v>
          </cell>
          <cell r="B210" t="str">
            <v>DRENO DE PVC Ø=100 mm</v>
          </cell>
          <cell r="C210" t="str">
            <v>unid.</v>
          </cell>
          <cell r="D210" t="str">
            <v>ES-OA-36/96</v>
          </cell>
          <cell r="E210">
            <v>5.0199999999999996</v>
          </cell>
          <cell r="F210">
            <v>1.64</v>
          </cell>
          <cell r="G210">
            <v>6.6599999999999993</v>
          </cell>
          <cell r="H210" t="str">
            <v>OAE</v>
          </cell>
        </row>
        <row r="211">
          <cell r="A211" t="str">
            <v>03.999.02</v>
          </cell>
          <cell r="B211" t="str">
            <v>PROTENÇÃO E INJEÇÃO DE CABO 06 CORDOALHAS D=12,7MM</v>
          </cell>
          <cell r="C211" t="str">
            <v>unid.</v>
          </cell>
          <cell r="D211" t="str">
            <v>DNER-ES-332/75/76</v>
          </cell>
          <cell r="E211">
            <v>361.11999999999995</v>
          </cell>
          <cell r="F211">
            <v>118.01</v>
          </cell>
          <cell r="G211">
            <v>479.12999999999994</v>
          </cell>
          <cell r="H211" t="str">
            <v>OAE</v>
          </cell>
        </row>
        <row r="212">
          <cell r="A212" t="str">
            <v>03.999.04</v>
          </cell>
          <cell r="B212" t="str">
            <v>PROTENÇÃO E INJEÇÃO DE CABO 12 CORDOALHAS D=12,7MM</v>
          </cell>
          <cell r="C212" t="str">
            <v>unid.</v>
          </cell>
          <cell r="D212" t="str">
            <v>DNER-ES-332/75/76</v>
          </cell>
          <cell r="E212">
            <v>666.84</v>
          </cell>
          <cell r="F212">
            <v>217.92</v>
          </cell>
          <cell r="G212">
            <v>884.76</v>
          </cell>
          <cell r="H212" t="str">
            <v>OAE</v>
          </cell>
        </row>
        <row r="213">
          <cell r="A213" t="str">
            <v>04.020.00</v>
          </cell>
          <cell r="B213" t="str">
            <v>ESCAVAÇÃO EM VALA MATERIAL DE 3a CATEGORIA</v>
          </cell>
          <cell r="C213" t="str">
            <v>m³</v>
          </cell>
          <cell r="D213" t="str">
            <v>DNER-ES 280/97</v>
          </cell>
          <cell r="E213">
            <v>27.6</v>
          </cell>
          <cell r="F213">
            <v>9.02</v>
          </cell>
          <cell r="G213">
            <v>36.620000000000005</v>
          </cell>
          <cell r="H213" t="str">
            <v>OAE</v>
          </cell>
        </row>
        <row r="214">
          <cell r="A214" t="str">
            <v>05.303.01</v>
          </cell>
          <cell r="B214" t="str">
            <v>TERRA ARMADA - ECE - GREIDE 0,0&lt;H&lt;6,0M TIPO RETA E CURVA ÂNGULO 15°</v>
          </cell>
          <cell r="C214" t="str">
            <v>m²</v>
          </cell>
          <cell r="E214">
            <v>185.45</v>
          </cell>
          <cell r="F214">
            <v>60.61</v>
          </cell>
          <cell r="G214">
            <v>246.06</v>
          </cell>
          <cell r="H214" t="str">
            <v>OAE</v>
          </cell>
        </row>
        <row r="215">
          <cell r="A215" t="str">
            <v>05.303.02</v>
          </cell>
          <cell r="B215" t="str">
            <v>TERRA ARMADA - ECE - GREIDE 6,0&lt;H&lt;9,0M TIPO RETA E CURVA ÂNGULO 15°</v>
          </cell>
          <cell r="C215" t="str">
            <v>m²</v>
          </cell>
          <cell r="E215">
            <v>208.06</v>
          </cell>
          <cell r="F215">
            <v>67.989999999999995</v>
          </cell>
          <cell r="G215">
            <v>276.05</v>
          </cell>
          <cell r="H215" t="str">
            <v>OAE</v>
          </cell>
        </row>
        <row r="216">
          <cell r="A216" t="str">
            <v>05.303.07</v>
          </cell>
          <cell r="B216" t="str">
            <v>TERRA ARMADA - ECE - ENC. PORTANTE 0,0&lt;H&lt;6,0M TIPO RETA</v>
          </cell>
          <cell r="C216" t="str">
            <v>m²</v>
          </cell>
          <cell r="E216">
            <v>300</v>
          </cell>
          <cell r="F216">
            <v>98.04</v>
          </cell>
          <cell r="G216">
            <v>398.04</v>
          </cell>
          <cell r="H216" t="str">
            <v>OAE</v>
          </cell>
        </row>
        <row r="217">
          <cell r="A217" t="str">
            <v>05.303.08</v>
          </cell>
          <cell r="B217" t="str">
            <v>TERRA ARMADA - ECE - ENC. PORTANTE 6,0&lt;H&lt;9,0M TIPO RETA</v>
          </cell>
          <cell r="C217" t="str">
            <v>m²</v>
          </cell>
          <cell r="E217">
            <v>339.78</v>
          </cell>
          <cell r="F217">
            <v>111.04</v>
          </cell>
          <cell r="G217">
            <v>450.82</v>
          </cell>
          <cell r="H217" t="str">
            <v>OAE</v>
          </cell>
        </row>
        <row r="218">
          <cell r="A218" t="str">
            <v>05.303.09</v>
          </cell>
          <cell r="B218" t="str">
            <v>ESCAMAS DE CONCRETO ARMADO PARA TERRA ARMADA</v>
          </cell>
          <cell r="C218" t="str">
            <v>m³</v>
          </cell>
          <cell r="D218" t="str">
            <v>DNER-ES 330/97</v>
          </cell>
          <cell r="E218">
            <v>368.33000000000004</v>
          </cell>
          <cell r="F218">
            <v>120.37</v>
          </cell>
          <cell r="G218">
            <v>488.70000000000005</v>
          </cell>
          <cell r="H218" t="str">
            <v>OAE</v>
          </cell>
        </row>
        <row r="219">
          <cell r="A219" t="str">
            <v>05.303.10</v>
          </cell>
          <cell r="B219" t="str">
            <v>CONCRETAGEM DE SOLEIRA E ARREMATES DE MACIÇO TERRA ARMADA</v>
          </cell>
          <cell r="C219" t="str">
            <v>m³</v>
          </cell>
          <cell r="D219" t="str">
            <v>DNER-ES 330/97</v>
          </cell>
          <cell r="E219">
            <v>200.25</v>
          </cell>
          <cell r="F219">
            <v>65.44</v>
          </cell>
          <cell r="G219">
            <v>265.69</v>
          </cell>
          <cell r="H219" t="str">
            <v>OAE</v>
          </cell>
        </row>
        <row r="220">
          <cell r="A220" t="str">
            <v>05.303.11</v>
          </cell>
          <cell r="B220" t="str">
            <v>MONTAGEM DE MACIÇO TERRA ARMADA</v>
          </cell>
          <cell r="C220" t="str">
            <v>m²</v>
          </cell>
          <cell r="D220" t="str">
            <v>DNER-ES 282/97</v>
          </cell>
          <cell r="E220">
            <v>38.22</v>
          </cell>
          <cell r="F220">
            <v>12.49</v>
          </cell>
          <cell r="G220">
            <v>50.71</v>
          </cell>
          <cell r="H220" t="str">
            <v>OAE</v>
          </cell>
        </row>
        <row r="221">
          <cell r="A221" t="str">
            <v>06.030.11</v>
          </cell>
          <cell r="B221" t="str">
            <v>BARREIRA DE SEGURANÇA TIPO NEW JERSEY</v>
          </cell>
          <cell r="C221" t="str">
            <v>m</v>
          </cell>
          <cell r="D221" t="str">
            <v>DNER-ES 340/97</v>
          </cell>
          <cell r="E221">
            <v>149.81</v>
          </cell>
          <cell r="F221">
            <v>48.96</v>
          </cell>
          <cell r="G221">
            <v>198.77</v>
          </cell>
          <cell r="H221" t="str">
            <v>OAE</v>
          </cell>
        </row>
        <row r="222">
          <cell r="A222" t="str">
            <v>OUTROS CÓDIGOS</v>
          </cell>
        </row>
        <row r="223">
          <cell r="A223" t="str">
            <v>10.000.05</v>
          </cell>
          <cell r="B223" t="str">
            <v>PAVIMENTAÇÃO EM CBUQ</v>
          </cell>
          <cell r="C223" t="str">
            <v>m³</v>
          </cell>
          <cell r="D223" t="str">
            <v>EC-02</v>
          </cell>
          <cell r="E223">
            <v>57.38</v>
          </cell>
          <cell r="F223">
            <v>18.75</v>
          </cell>
          <cell r="G223">
            <v>76.13</v>
          </cell>
          <cell r="H223" t="str">
            <v>OAE</v>
          </cell>
        </row>
        <row r="224">
          <cell r="A224" t="str">
            <v>10.000.03</v>
          </cell>
          <cell r="B224" t="str">
            <v>CIMBRAMENTO</v>
          </cell>
          <cell r="C224" t="str">
            <v>m³</v>
          </cell>
          <cell r="D224" t="str">
            <v>DNER-ES 286/97</v>
          </cell>
          <cell r="E224">
            <v>41.149999999999991</v>
          </cell>
          <cell r="F224">
            <v>13.45</v>
          </cell>
          <cell r="G224">
            <v>54.599999999999994</v>
          </cell>
          <cell r="H224" t="str">
            <v>OAE</v>
          </cell>
        </row>
        <row r="225">
          <cell r="A225" t="str">
            <v>10.000.46</v>
          </cell>
          <cell r="B225" t="str">
            <v>CARGA, TRANSPORTE, IÇAMENTO E LANÇAMENTO DE LAJE PRÉ-MOLDADA ATÉ 3,0T</v>
          </cell>
          <cell r="C225" t="str">
            <v>unid.</v>
          </cell>
          <cell r="E225">
            <v>21.16</v>
          </cell>
          <cell r="F225">
            <v>6.92</v>
          </cell>
          <cell r="G225">
            <v>28.08</v>
          </cell>
          <cell r="H225" t="str">
            <v>OAE</v>
          </cell>
        </row>
        <row r="226">
          <cell r="A226" t="str">
            <v>10.000.47</v>
          </cell>
          <cell r="B226" t="str">
            <v>CARGA, TRANSPORTE, IÇAMENTO E LANÇAMENTO DE LAJE PRÉ-MOLDADA ATÉ 55,0T</v>
          </cell>
          <cell r="C226" t="str">
            <v>unid.</v>
          </cell>
          <cell r="E226">
            <v>407.22</v>
          </cell>
          <cell r="F226">
            <v>133.08000000000001</v>
          </cell>
          <cell r="G226">
            <v>540.30000000000007</v>
          </cell>
          <cell r="H226" t="str">
            <v>OAE</v>
          </cell>
        </row>
        <row r="227">
          <cell r="A227" t="str">
            <v>10.400.11</v>
          </cell>
          <cell r="B227" t="str">
            <v>COLCHÃO DRENANTE C/PEDRA-DE-MÃO P/CORTE EM ROCHA</v>
          </cell>
          <cell r="C227" t="str">
            <v>m³</v>
          </cell>
          <cell r="D227" t="str">
            <v>EC-03</v>
          </cell>
          <cell r="E227">
            <v>68.550000000000011</v>
          </cell>
          <cell r="F227">
            <v>22.4</v>
          </cell>
          <cell r="G227">
            <v>90.950000000000017</v>
          </cell>
          <cell r="H227" t="str">
            <v>Drenagem</v>
          </cell>
        </row>
        <row r="228">
          <cell r="A228" t="str">
            <v>10.200.02</v>
          </cell>
          <cell r="B228" t="str">
            <v>BASE DE SOLO CIMENTO C/MISTURA NA PISTA C/RECICLADORA</v>
          </cell>
          <cell r="C228" t="str">
            <v>m³</v>
          </cell>
          <cell r="D228" t="str">
            <v>DNER-ES-305/97</v>
          </cell>
          <cell r="E228">
            <v>74.239999999999995</v>
          </cell>
          <cell r="F228">
            <v>24.26</v>
          </cell>
          <cell r="G228">
            <v>98.5</v>
          </cell>
          <cell r="H228" t="str">
            <v>Pavimentação</v>
          </cell>
        </row>
        <row r="229">
          <cell r="A229" t="str">
            <v>10.200.03</v>
          </cell>
          <cell r="B229" t="str">
            <v>SUB-BASE DE SOLO MELHORADO C/CIMENTO MISTURA NA PISTA C/RECICLADORA</v>
          </cell>
          <cell r="C229" t="str">
            <v>m³</v>
          </cell>
          <cell r="D229" t="str">
            <v>DNER-ES-302/97</v>
          </cell>
          <cell r="E229">
            <v>51.94</v>
          </cell>
          <cell r="F229">
            <v>16.97</v>
          </cell>
          <cell r="G229">
            <v>68.91</v>
          </cell>
          <cell r="H229" t="str">
            <v>Pavimentação</v>
          </cell>
        </row>
        <row r="230">
          <cell r="A230" t="str">
            <v>10.300.15</v>
          </cell>
          <cell r="B230" t="str">
            <v>PINTURA EM SUPER CONSERVADO P</v>
          </cell>
          <cell r="C230" t="str">
            <v>m²</v>
          </cell>
          <cell r="E230">
            <v>12.61</v>
          </cell>
          <cell r="F230">
            <v>4.12</v>
          </cell>
          <cell r="G230">
            <v>16.73</v>
          </cell>
          <cell r="H230" t="str">
            <v>OAE</v>
          </cell>
        </row>
        <row r="231">
          <cell r="A231" t="str">
            <v>10.300.25</v>
          </cell>
          <cell r="B231" t="str">
            <v>FORNECIMENTO CORTE E COLOCAÇÃO DE 12Ø12,7 - AÇO CP-190 RB</v>
          </cell>
          <cell r="C231" t="str">
            <v>kg</v>
          </cell>
          <cell r="D231" t="str">
            <v>DNER-ES-332/75/76</v>
          </cell>
          <cell r="E231">
            <v>5.0599999999999996</v>
          </cell>
          <cell r="F231">
            <v>1.65</v>
          </cell>
          <cell r="G231">
            <v>6.7099999999999991</v>
          </cell>
          <cell r="H231" t="str">
            <v>OAE</v>
          </cell>
        </row>
        <row r="232">
          <cell r="A232" t="str">
            <v>10.300.26</v>
          </cell>
          <cell r="B232" t="str">
            <v>PROTENSÃO E ANCORAGEM ATIVA PARA 120Ø12,7MM</v>
          </cell>
          <cell r="C232" t="str">
            <v>unid.</v>
          </cell>
          <cell r="D232" t="str">
            <v>DNER-ES-332/75/76</v>
          </cell>
          <cell r="E232">
            <v>548.67999999999995</v>
          </cell>
          <cell r="F232">
            <v>179.31</v>
          </cell>
          <cell r="G232">
            <v>727.99</v>
          </cell>
          <cell r="H232" t="str">
            <v>OAE</v>
          </cell>
        </row>
        <row r="233">
          <cell r="A233" t="str">
            <v>10.300.27</v>
          </cell>
          <cell r="B233" t="str">
            <v>FORNECIMENTO E COLOCAÇÃO DE BAINHAS CORRUGADAS Ø 70MM E INJEÇÃO DE NATA DE CIMENTO</v>
          </cell>
          <cell r="C233" t="str">
            <v>m</v>
          </cell>
          <cell r="D233" t="str">
            <v>DNER-ES-332/75/76</v>
          </cell>
          <cell r="E233">
            <v>87.100000000000009</v>
          </cell>
          <cell r="F233">
            <v>28.46</v>
          </cell>
          <cell r="G233">
            <v>115.56</v>
          </cell>
          <cell r="H233" t="str">
            <v>OAE</v>
          </cell>
        </row>
        <row r="234">
          <cell r="A234" t="str">
            <v>10.300.30</v>
          </cell>
          <cell r="B234" t="str">
            <v>EXECUÇÃO DE SONDAGEM A PERCUSSÃO</v>
          </cell>
          <cell r="C234" t="str">
            <v>m</v>
          </cell>
          <cell r="D234" t="str">
            <v>DNER-ES-334/97</v>
          </cell>
          <cell r="E234">
            <v>52</v>
          </cell>
          <cell r="F234">
            <v>16.989999999999998</v>
          </cell>
          <cell r="G234">
            <v>68.989999999999995</v>
          </cell>
          <cell r="H234" t="str">
            <v>OAE</v>
          </cell>
        </row>
        <row r="235">
          <cell r="A235" t="str">
            <v>10.300.31</v>
          </cell>
          <cell r="B235" t="str">
            <v>MOBILIZAÇÃO, INSTALAÇÃO E DESMOBILIZAÇÃO DE EQUIPAMENTO P/EXECUÇÃO DE SONDAGENS</v>
          </cell>
          <cell r="C235" t="str">
            <v>unid.</v>
          </cell>
          <cell r="D235" t="str">
            <v>DNER-ES-334/97</v>
          </cell>
          <cell r="E235">
            <v>1300</v>
          </cell>
          <cell r="F235">
            <v>424.84</v>
          </cell>
          <cell r="G235">
            <v>1724.84</v>
          </cell>
          <cell r="H235" t="str">
            <v>OAE</v>
          </cell>
        </row>
        <row r="236">
          <cell r="A236" t="str">
            <v>10.300.32</v>
          </cell>
          <cell r="B236" t="str">
            <v>DETALHAMENTO DO PROJETO</v>
          </cell>
          <cell r="C236" t="str">
            <v>m²</v>
          </cell>
          <cell r="D236" t="str">
            <v>EP-OAE 01</v>
          </cell>
          <cell r="E236">
            <v>20</v>
          </cell>
          <cell r="F236">
            <v>6.54</v>
          </cell>
          <cell r="G236">
            <v>26.54</v>
          </cell>
          <cell r="H236" t="str">
            <v>OAE</v>
          </cell>
        </row>
        <row r="237">
          <cell r="A237" t="str">
            <v>10.300.33</v>
          </cell>
          <cell r="B237" t="str">
            <v>GROUT</v>
          </cell>
          <cell r="C237" t="str">
            <v>kg</v>
          </cell>
          <cell r="E237">
            <v>7.81</v>
          </cell>
          <cell r="F237">
            <v>2.5499999999999998</v>
          </cell>
          <cell r="G237">
            <v>10.36</v>
          </cell>
          <cell r="H237" t="str">
            <v>OAE</v>
          </cell>
        </row>
        <row r="238">
          <cell r="A238" t="str">
            <v>10.300.34</v>
          </cell>
          <cell r="B238" t="str">
            <v>BARREIRA DE CONCRETO, INCL. MÃO DE OBRA E MATERIAL</v>
          </cell>
          <cell r="C238" t="str">
            <v>m</v>
          </cell>
          <cell r="D238" t="str">
            <v>DNER-ES-335/97</v>
          </cell>
          <cell r="E238">
            <v>70.09</v>
          </cell>
          <cell r="F238">
            <v>22.91</v>
          </cell>
          <cell r="G238">
            <v>93</v>
          </cell>
          <cell r="H238" t="str">
            <v>OAE</v>
          </cell>
        </row>
        <row r="239">
          <cell r="A239" t="str">
            <v>10.300.47</v>
          </cell>
          <cell r="B239" t="str">
            <v>DRENO DE FERRO GALVANIZADO 2"</v>
          </cell>
          <cell r="C239" t="str">
            <v>unid.</v>
          </cell>
          <cell r="D239" t="str">
            <v>ES-OA-36/96</v>
          </cell>
          <cell r="E239">
            <v>8.48</v>
          </cell>
          <cell r="F239">
            <v>2.77</v>
          </cell>
          <cell r="G239">
            <v>11.25</v>
          </cell>
          <cell r="H239" t="str">
            <v>OAE</v>
          </cell>
        </row>
        <row r="240">
          <cell r="A240" t="str">
            <v>10.500.38</v>
          </cell>
          <cell r="B240" t="str">
            <v>REMOÇÃO DE CERCAS DE ARAME FARPADO</v>
          </cell>
          <cell r="C240" t="str">
            <v>m</v>
          </cell>
          <cell r="D240" t="str">
            <v>DNER-ES 338/97</v>
          </cell>
          <cell r="E240">
            <v>2.54</v>
          </cell>
          <cell r="F240">
            <v>0.83</v>
          </cell>
          <cell r="G240">
            <v>3.37</v>
          </cell>
          <cell r="H240" t="str">
            <v>Obras Comp.</v>
          </cell>
        </row>
        <row r="241">
          <cell r="A241" t="str">
            <v>10.500.39</v>
          </cell>
          <cell r="B241" t="str">
            <v>MANTA GEOTEXTIL P/REFORÇO DE FUNDAÃO DE ATERRO</v>
          </cell>
          <cell r="C241" t="str">
            <v>m²</v>
          </cell>
          <cell r="E241">
            <v>3.5100000000000002</v>
          </cell>
          <cell r="F241">
            <v>1.1499999999999999</v>
          </cell>
          <cell r="G241">
            <v>4.66</v>
          </cell>
          <cell r="H241" t="str">
            <v>Obras Comp.</v>
          </cell>
        </row>
        <row r="242">
          <cell r="A242" t="str">
            <v>10.500.40</v>
          </cell>
          <cell r="B242" t="str">
            <v>GEOFORMA TÊXTIL TIPO BOLSACRETO BC - 200 kg DE CIMENTO/m3</v>
          </cell>
          <cell r="C242" t="str">
            <v>m³</v>
          </cell>
          <cell r="D242" t="str">
            <v>EC-01</v>
          </cell>
          <cell r="E242">
            <v>51.69</v>
          </cell>
          <cell r="F242">
            <v>16.89</v>
          </cell>
          <cell r="G242">
            <v>68.58</v>
          </cell>
          <cell r="H242" t="str">
            <v>OAE</v>
          </cell>
        </row>
        <row r="243">
          <cell r="A243" t="str">
            <v>10.500.41</v>
          </cell>
          <cell r="B243" t="str">
            <v>GEOFORMA TÊXTIL TIPO COLCHACRETO A-15 - 200 kg DE CIMENTO/m3</v>
          </cell>
          <cell r="C243" t="str">
            <v>m²</v>
          </cell>
          <cell r="D243" t="str">
            <v>EC-01</v>
          </cell>
          <cell r="E243">
            <v>28.94</v>
          </cell>
          <cell r="F243">
            <v>9.4600000000000009</v>
          </cell>
          <cell r="G243">
            <v>38.400000000000006</v>
          </cell>
          <cell r="H243" t="str">
            <v>OAE</v>
          </cell>
        </row>
        <row r="244">
          <cell r="A244" t="str">
            <v>10.550.19</v>
          </cell>
          <cell r="B244" t="str">
            <v>MANTA VEGETAL</v>
          </cell>
          <cell r="C244" t="str">
            <v>m²</v>
          </cell>
          <cell r="D244" t="str">
            <v>EC-PCE-03</v>
          </cell>
          <cell r="E244">
            <v>2.62</v>
          </cell>
          <cell r="F244">
            <v>0.86</v>
          </cell>
          <cell r="G244">
            <v>3.48</v>
          </cell>
          <cell r="H244" t="str">
            <v>OAE</v>
          </cell>
        </row>
        <row r="245">
          <cell r="A245" t="str">
            <v>10.550.20</v>
          </cell>
          <cell r="B245" t="str">
            <v>SEMEADURA MANUAL</v>
          </cell>
          <cell r="C245" t="str">
            <v>m²</v>
          </cell>
          <cell r="D245" t="str">
            <v>DNER-ES-341/97</v>
          </cell>
          <cell r="E245">
            <v>1.04</v>
          </cell>
          <cell r="F245">
            <v>0.34</v>
          </cell>
          <cell r="G245">
            <v>1.3800000000000001</v>
          </cell>
          <cell r="H245" t="str">
            <v>Meio Ambiente</v>
          </cell>
        </row>
        <row r="246">
          <cell r="A246" t="str">
            <v>10.600.10</v>
          </cell>
          <cell r="B246" t="str">
            <v>FORNECIMENTO E LANÇAMENTO DE ARGAMASSA ESTRUT. SIKAGROUT TIX C/ADIÇÃO DE 30% DE PEDRISCO P/EXEC. DE CALÇOS E BERÇOS DE APOIOS</v>
          </cell>
          <cell r="C246" t="str">
            <v>m³</v>
          </cell>
          <cell r="E246">
            <v>1586.14</v>
          </cell>
          <cell r="F246">
            <v>518.35</v>
          </cell>
          <cell r="G246">
            <v>2104.4900000000002</v>
          </cell>
          <cell r="H246" t="str">
            <v>OAE</v>
          </cell>
        </row>
        <row r="247">
          <cell r="A247" t="str">
            <v>10.600.30</v>
          </cell>
          <cell r="B247" t="str">
            <v>FORNECIMENTO, CORTE E COLOCAÇÃO DE 4 Ø 15,2mm - AÇO CP-190 RB</v>
          </cell>
          <cell r="C247" t="str">
            <v>kg</v>
          </cell>
          <cell r="E247">
            <v>4.4399999999999995</v>
          </cell>
          <cell r="F247">
            <v>1.45</v>
          </cell>
          <cell r="G247">
            <v>5.89</v>
          </cell>
          <cell r="H247" t="str">
            <v>OAE</v>
          </cell>
        </row>
        <row r="248">
          <cell r="A248" t="str">
            <v>10.600.32</v>
          </cell>
          <cell r="B248" t="str">
            <v>PROTENSÃO E ANCORAGEM ATIVA PARA 4 Ø 15,2MM</v>
          </cell>
          <cell r="C248" t="str">
            <v>unid.</v>
          </cell>
          <cell r="E248">
            <v>125.68</v>
          </cell>
          <cell r="F248">
            <v>41.07</v>
          </cell>
          <cell r="G248">
            <v>166.75</v>
          </cell>
          <cell r="H248" t="str">
            <v>OAE</v>
          </cell>
        </row>
        <row r="249">
          <cell r="A249" t="str">
            <v>10.600.34</v>
          </cell>
          <cell r="B249" t="str">
            <v>FORNECIMENTOE COLOCAÇÃO DE BAINHAS CORRUGADAS Ø 45MM E INJEÇÃO DE NATA DE CIMENTO</v>
          </cell>
          <cell r="C249" t="str">
            <v>m</v>
          </cell>
          <cell r="E249">
            <v>82.09</v>
          </cell>
          <cell r="F249">
            <v>26.83</v>
          </cell>
          <cell r="G249">
            <v>108.92</v>
          </cell>
          <cell r="H249" t="str">
            <v>OAE</v>
          </cell>
        </row>
        <row r="250">
          <cell r="A250" t="str">
            <v>10.600.25</v>
          </cell>
          <cell r="B250" t="str">
            <v>FORNECIMENTO, CORTE E COLOCAÇÃO DE 12 Ø 15,2mm - AÇO CP-190 RB</v>
          </cell>
          <cell r="C250" t="str">
            <v>kg</v>
          </cell>
          <cell r="E250">
            <v>4.4399999999999995</v>
          </cell>
          <cell r="F250">
            <v>1.45</v>
          </cell>
          <cell r="G250">
            <v>5.89</v>
          </cell>
          <cell r="H250" t="str">
            <v>OAE</v>
          </cell>
        </row>
        <row r="251">
          <cell r="A251" t="str">
            <v>10.600.26</v>
          </cell>
          <cell r="B251" t="str">
            <v>PROTENSÃO E ANCORAGEM ATIVA PARA 12 Ø 15,2MM</v>
          </cell>
          <cell r="C251" t="str">
            <v>unid.</v>
          </cell>
          <cell r="E251">
            <v>423.68</v>
          </cell>
          <cell r="F251">
            <v>138.46</v>
          </cell>
          <cell r="G251">
            <v>562.14</v>
          </cell>
          <cell r="H251" t="str">
            <v>OAE</v>
          </cell>
        </row>
        <row r="252">
          <cell r="A252" t="str">
            <v>10.600.27</v>
          </cell>
          <cell r="B252" t="str">
            <v>FORNECIMENTOE COLOCAÇÃO DE BAINHAS CORRUGADAS Ø 70MM E INJEÇÃO DE NATA DE CIMENTO</v>
          </cell>
          <cell r="C252" t="str">
            <v>m</v>
          </cell>
          <cell r="E252">
            <v>84.490000000000009</v>
          </cell>
          <cell r="F252">
            <v>27.61</v>
          </cell>
          <cell r="G252">
            <v>112.10000000000001</v>
          </cell>
          <cell r="H252" t="str">
            <v>OAE</v>
          </cell>
        </row>
        <row r="253">
          <cell r="A253" t="str">
            <v>10.600.28</v>
          </cell>
          <cell r="B253" t="str">
            <v>TRANSPORTE, LANÇAMENTO E POSICIONAMENTO DE PRÉ-LAJE DE CONCRETO ARMADO</v>
          </cell>
          <cell r="C253" t="str">
            <v>unid.</v>
          </cell>
          <cell r="E253">
            <v>86.37</v>
          </cell>
          <cell r="F253">
            <v>28.23</v>
          </cell>
          <cell r="G253">
            <v>114.60000000000001</v>
          </cell>
          <cell r="H253" t="str">
            <v>OAE</v>
          </cell>
        </row>
        <row r="254">
          <cell r="A254" t="str">
            <v>10.600.29</v>
          </cell>
          <cell r="B254" t="str">
            <v>FORNECIMENTO E COLOCAÇÃO DE JUNTA DE PAVIMENTO TIPO JEENE - JJ5070</v>
          </cell>
          <cell r="C254" t="str">
            <v>m</v>
          </cell>
          <cell r="E254">
            <v>163.41999999999999</v>
          </cell>
          <cell r="F254">
            <v>53.41</v>
          </cell>
          <cell r="G254">
            <v>216.82999999999998</v>
          </cell>
          <cell r="H254" t="str">
            <v>OAE</v>
          </cell>
        </row>
        <row r="255">
          <cell r="A255" t="str">
            <v>10.600.35</v>
          </cell>
          <cell r="B255" t="str">
            <v>EXECUÇÃO DE ESTACAS ESCAVADAS DIAM=1,20M, C/LAMA BETONÍTICA, INCL. ESCAVAÇÃO E MATERIAIS</v>
          </cell>
          <cell r="C255" t="str">
            <v>m</v>
          </cell>
          <cell r="D255" t="str">
            <v>DNER-ES 334/97</v>
          </cell>
          <cell r="E255">
            <v>250.82</v>
          </cell>
          <cell r="F255">
            <v>81.97</v>
          </cell>
          <cell r="G255">
            <v>332.78999999999996</v>
          </cell>
          <cell r="H255" t="str">
            <v>OAE</v>
          </cell>
        </row>
        <row r="256">
          <cell r="A256" t="str">
            <v>10.600.36</v>
          </cell>
          <cell r="B256" t="str">
            <v>EXECUÇÃO DE ESTACAS ESCAVADAS DIAM=1,50M, C/LAMA BETONÍTICA, INCL. ESCAVAÇÃO E MATERIAIS</v>
          </cell>
          <cell r="C256" t="str">
            <v>m</v>
          </cell>
          <cell r="D256" t="str">
            <v>DNER-ES 334/97</v>
          </cell>
          <cell r="E256">
            <v>374.74</v>
          </cell>
          <cell r="F256">
            <v>122.47</v>
          </cell>
          <cell r="G256">
            <v>497.21000000000004</v>
          </cell>
          <cell r="H256" t="str">
            <v>OAE</v>
          </cell>
        </row>
        <row r="260">
          <cell r="A260" t="str">
            <v>TRANSPORTES</v>
          </cell>
        </row>
        <row r="261">
          <cell r="A261" t="str">
            <v>A.00.001.05</v>
          </cell>
          <cell r="B261" t="str">
            <v>BASC. 10M3 LOCAL ÑPAV - CONSTRUÇÃO</v>
          </cell>
          <cell r="C261" t="str">
            <v>tkm</v>
          </cell>
          <cell r="E261">
            <v>0.23</v>
          </cell>
          <cell r="F261" t="str">
            <v>R. SUL</v>
          </cell>
          <cell r="G261">
            <v>37257</v>
          </cell>
          <cell r="H261" t="str">
            <v>Transportes</v>
          </cell>
        </row>
        <row r="262">
          <cell r="A262" t="str">
            <v>A.00.001.40</v>
          </cell>
          <cell r="B262" t="str">
            <v>CARROC. 15T LOCAL ÑPAV - GERAL</v>
          </cell>
          <cell r="C262" t="str">
            <v>tkm</v>
          </cell>
          <cell r="E262">
            <v>0.3</v>
          </cell>
          <cell r="F262" t="str">
            <v>R. SUL</v>
          </cell>
          <cell r="G262">
            <v>37257</v>
          </cell>
          <cell r="H262" t="str">
            <v>Transportes</v>
          </cell>
        </row>
        <row r="263">
          <cell r="A263" t="str">
            <v>A.00.001.90</v>
          </cell>
          <cell r="B263" t="str">
            <v>CARROC. 15T COM. ÑPAV - GERAL</v>
          </cell>
          <cell r="C263" t="str">
            <v>tkm</v>
          </cell>
          <cell r="D263" t="str">
            <v/>
          </cell>
          <cell r="E263">
            <v>0.17</v>
          </cell>
          <cell r="F263" t="str">
            <v>R. SUL</v>
          </cell>
          <cell r="G263">
            <v>37257</v>
          </cell>
          <cell r="H263" t="str">
            <v>Transportes</v>
          </cell>
        </row>
        <row r="264">
          <cell r="A264" t="str">
            <v>A.00.001.91</v>
          </cell>
          <cell r="B264" t="str">
            <v>BASC. 10m3 COM. ÑPAV - CONSTRUÇÃO</v>
          </cell>
          <cell r="C264" t="str">
            <v>tkm</v>
          </cell>
          <cell r="E264">
            <v>0.17</v>
          </cell>
          <cell r="F264" t="str">
            <v>R. SUL</v>
          </cell>
          <cell r="G264">
            <v>37257</v>
          </cell>
          <cell r="H264" t="str">
            <v>Transportes</v>
          </cell>
        </row>
        <row r="265">
          <cell r="A265" t="str">
            <v>A.00.002.05</v>
          </cell>
          <cell r="B265" t="str">
            <v>BASC. 10M3 COM. PAV - CONSTRUÇÃO</v>
          </cell>
          <cell r="C265" t="str">
            <v>tkm</v>
          </cell>
          <cell r="E265">
            <v>0.11</v>
          </cell>
          <cell r="F265" t="str">
            <v>R. SUL</v>
          </cell>
          <cell r="G265">
            <v>37257</v>
          </cell>
          <cell r="H265" t="str">
            <v>Transportes</v>
          </cell>
        </row>
        <row r="266">
          <cell r="A266" t="str">
            <v>A.00.002.40</v>
          </cell>
          <cell r="B266" t="str">
            <v>CARROC. 15T-PAV-LOCAL - GERAL</v>
          </cell>
          <cell r="C266" t="str">
            <v>tkm</v>
          </cell>
          <cell r="E266">
            <v>0.22</v>
          </cell>
          <cell r="F266" t="str">
            <v>R. SUL</v>
          </cell>
          <cell r="G266">
            <v>37257</v>
          </cell>
          <cell r="H266" t="str">
            <v>Transportes</v>
          </cell>
        </row>
        <row r="267">
          <cell r="A267" t="str">
            <v>A.00.002.90</v>
          </cell>
          <cell r="B267" t="str">
            <v>CARROC. 15T-PAV-COM - GERAL</v>
          </cell>
          <cell r="C267" t="str">
            <v>tkm</v>
          </cell>
          <cell r="E267">
            <v>0.11</v>
          </cell>
          <cell r="F267" t="str">
            <v>R. SUL</v>
          </cell>
          <cell r="G267">
            <v>37257</v>
          </cell>
          <cell r="H267" t="str">
            <v>Transportes</v>
          </cell>
        </row>
        <row r="268">
          <cell r="A268" t="str">
            <v>A.00.002.91</v>
          </cell>
          <cell r="B268" t="str">
            <v>BASC. 10m3 COM PAV - GERAL</v>
          </cell>
          <cell r="C268" t="str">
            <v>tkm</v>
          </cell>
          <cell r="E268">
            <v>0.11</v>
          </cell>
          <cell r="F268" t="str">
            <v>R. SUL</v>
          </cell>
          <cell r="G268">
            <v>37257</v>
          </cell>
          <cell r="H268" t="str">
            <v>Transportes</v>
          </cell>
        </row>
        <row r="269">
          <cell r="A269" t="str">
            <v>A.00.102.00</v>
          </cell>
          <cell r="B269" t="str">
            <v>BASC. PARA MISTURA BETUMINOSA</v>
          </cell>
          <cell r="C269" t="str">
            <v>tkm</v>
          </cell>
          <cell r="E269">
            <v>0.48</v>
          </cell>
          <cell r="F269" t="str">
            <v>R. SUL</v>
          </cell>
          <cell r="G269">
            <v>37257</v>
          </cell>
          <cell r="H269" t="str">
            <v>Transportes</v>
          </cell>
        </row>
        <row r="270">
          <cell r="A270" t="str">
            <v>A.00.112.90</v>
          </cell>
          <cell r="B270" t="str">
            <v>CARRETA TANQUE A QUENTE</v>
          </cell>
          <cell r="C270" t="str">
            <v>tkm</v>
          </cell>
          <cell r="H270" t="str">
            <v>Transportes</v>
          </cell>
        </row>
        <row r="271">
          <cell r="A271" t="str">
            <v>A.00.112.91</v>
          </cell>
          <cell r="B271" t="str">
            <v>CARRETA TANQUE CONVENCIONAL</v>
          </cell>
          <cell r="C271" t="str">
            <v>tkm</v>
          </cell>
          <cell r="H271" t="str">
            <v>Transportes</v>
          </cell>
        </row>
        <row r="272">
          <cell r="A272" t="str">
            <v>CUSTOS BÁSICOS</v>
          </cell>
        </row>
        <row r="273">
          <cell r="A273" t="str">
            <v>A.01.100.01</v>
          </cell>
          <cell r="B273" t="str">
            <v>LIMPEZA CAMADA VEGETAL EM JAZIDA</v>
          </cell>
          <cell r="C273" t="str">
            <v>m²</v>
          </cell>
          <cell r="E273">
            <v>0.16</v>
          </cell>
          <cell r="H273" t="str">
            <v>Custos Básicos</v>
          </cell>
        </row>
        <row r="274">
          <cell r="A274" t="str">
            <v>A.01.105.01</v>
          </cell>
          <cell r="B274" t="str">
            <v>EXPURGO DE JAZIDA</v>
          </cell>
          <cell r="C274" t="str">
            <v>m³</v>
          </cell>
          <cell r="E274">
            <v>0.87</v>
          </cell>
          <cell r="H274" t="str">
            <v>Custos Básicos</v>
          </cell>
        </row>
        <row r="275">
          <cell r="A275" t="str">
            <v>A.01.120.01</v>
          </cell>
          <cell r="B275" t="str">
            <v>ESCAVAÇÃO E CARGA DE MATERIAL DE JAZIDA</v>
          </cell>
          <cell r="C275" t="str">
            <v>m³</v>
          </cell>
          <cell r="E275">
            <v>2.2999999999999998</v>
          </cell>
          <cell r="H275" t="str">
            <v>Custos Básicos</v>
          </cell>
        </row>
        <row r="276">
          <cell r="A276" t="str">
            <v>A.01.150.02</v>
          </cell>
          <cell r="B276" t="str">
            <v>ROCHA P/BRITAGEM C/PERFURATRIZ MANUAL</v>
          </cell>
          <cell r="C276" t="str">
            <v>m³</v>
          </cell>
          <cell r="E276">
            <v>14</v>
          </cell>
          <cell r="H276" t="str">
            <v>Custos Básicos</v>
          </cell>
        </row>
        <row r="277">
          <cell r="A277" t="str">
            <v>A.01.155.02</v>
          </cell>
          <cell r="B277" t="str">
            <v>RACHÃO P/COLCHÃO DRENANTE EM REBAIXO DE ROCHA</v>
          </cell>
          <cell r="C277" t="str">
            <v>m³</v>
          </cell>
          <cell r="E277">
            <v>10.7</v>
          </cell>
          <cell r="H277" t="str">
            <v>Custos Básicos</v>
          </cell>
        </row>
        <row r="278">
          <cell r="A278" t="str">
            <v>A.01.390.02</v>
          </cell>
          <cell r="B278" t="str">
            <v>USINAGEM DE CBUQ (CAPA DE ROLAMENTO) - FAIXA C</v>
          </cell>
          <cell r="C278" t="str">
            <v>t</v>
          </cell>
          <cell r="E278">
            <v>45.11</v>
          </cell>
          <cell r="H278" t="str">
            <v>Custos Básicos</v>
          </cell>
        </row>
        <row r="279">
          <cell r="A279" t="str">
            <v>A.01.390.03</v>
          </cell>
          <cell r="B279" t="str">
            <v>USINAGEM DE CBUQ (BINDER) - FAIXA B</v>
          </cell>
          <cell r="C279" t="str">
            <v>t</v>
          </cell>
          <cell r="E279">
            <v>31.96</v>
          </cell>
          <cell r="H279" t="str">
            <v>Custos Básicos</v>
          </cell>
        </row>
        <row r="280">
          <cell r="A280" t="str">
            <v>A.01.396.01</v>
          </cell>
          <cell r="B280" t="str">
            <v>USINAGEM DE SOLO-CIMENTO</v>
          </cell>
          <cell r="C280" t="str">
            <v>m³</v>
          </cell>
          <cell r="E280">
            <v>68.33</v>
          </cell>
          <cell r="H280" t="str">
            <v>Custos Básicos</v>
          </cell>
        </row>
        <row r="281">
          <cell r="A281" t="str">
            <v>A.01.396.02</v>
          </cell>
          <cell r="B281" t="str">
            <v>USINAGEM DE SOLO MELHORADO C/CIMENTO</v>
          </cell>
          <cell r="C281" t="str">
            <v>m³</v>
          </cell>
          <cell r="E281">
            <v>39.47</v>
          </cell>
          <cell r="H281" t="str">
            <v>Custos Básicos</v>
          </cell>
        </row>
        <row r="282">
          <cell r="A282" t="str">
            <v>A.01.401.01</v>
          </cell>
          <cell r="B282" t="str">
            <v>FORMA COMUM DE MADEIRA</v>
          </cell>
          <cell r="C282" t="str">
            <v>m²</v>
          </cell>
          <cell r="E282">
            <v>21.799999999999997</v>
          </cell>
          <cell r="H282" t="str">
            <v>Custos Básicos</v>
          </cell>
        </row>
        <row r="283">
          <cell r="A283" t="str">
            <v>A.01.402.01</v>
          </cell>
          <cell r="B283" t="str">
            <v>FORMA DE PLACA COMPENSADA RESINADA</v>
          </cell>
          <cell r="C283" t="str">
            <v>m²</v>
          </cell>
          <cell r="E283">
            <v>16.11</v>
          </cell>
          <cell r="H283" t="str">
            <v>Custos Básicos</v>
          </cell>
        </row>
        <row r="284">
          <cell r="A284" t="str">
            <v>A.01.404.01</v>
          </cell>
          <cell r="B284" t="str">
            <v>FORMA P/TUBULÃO</v>
          </cell>
          <cell r="C284" t="str">
            <v>m²</v>
          </cell>
          <cell r="E284">
            <v>10.33</v>
          </cell>
          <cell r="H284" t="str">
            <v>Custos Básicos</v>
          </cell>
        </row>
        <row r="285">
          <cell r="A285" t="str">
            <v>A.01.407.01</v>
          </cell>
          <cell r="B285" t="str">
            <v>CONFECÇÃO E LANÇAMENTO DE CONCRETO MAGRO EM BETONEIRA</v>
          </cell>
          <cell r="C285" t="str">
            <v>m³</v>
          </cell>
          <cell r="E285">
            <v>155.99</v>
          </cell>
          <cell r="H285" t="str">
            <v>Custos Básicos</v>
          </cell>
        </row>
        <row r="286">
          <cell r="A286" t="str">
            <v>A.01.410.01</v>
          </cell>
          <cell r="B286" t="str">
            <v>CONCRETO FCK=10MPA</v>
          </cell>
          <cell r="C286" t="str">
            <v>m³</v>
          </cell>
          <cell r="E286">
            <v>183.42</v>
          </cell>
          <cell r="H286" t="str">
            <v>Custos Básicos</v>
          </cell>
        </row>
        <row r="287">
          <cell r="A287" t="str">
            <v>A.01.412.01</v>
          </cell>
          <cell r="B287" t="str">
            <v>CONCRETO FCK=12MPA</v>
          </cell>
          <cell r="C287" t="str">
            <v>m³</v>
          </cell>
          <cell r="E287">
            <v>190.76999999999998</v>
          </cell>
          <cell r="H287" t="str">
            <v>Custos Básicos</v>
          </cell>
        </row>
        <row r="288">
          <cell r="A288" t="str">
            <v>A.01.415.01</v>
          </cell>
          <cell r="B288" t="str">
            <v>CONCRETO ESTRUTURAL FCK=15MPA</v>
          </cell>
          <cell r="C288" t="str">
            <v>m³</v>
          </cell>
          <cell r="E288">
            <v>198.69</v>
          </cell>
          <cell r="H288" t="str">
            <v>Custos Básicos</v>
          </cell>
        </row>
        <row r="289">
          <cell r="A289" t="str">
            <v>A.01.418.01</v>
          </cell>
          <cell r="B289" t="str">
            <v>CONCRETO ESTRUTURAL FCK=18MPA</v>
          </cell>
          <cell r="C289" t="str">
            <v>m³</v>
          </cell>
          <cell r="E289">
            <v>206.28</v>
          </cell>
          <cell r="H289" t="str">
            <v>Custos Básicos</v>
          </cell>
        </row>
        <row r="290">
          <cell r="A290" t="str">
            <v>A.01.422.01</v>
          </cell>
          <cell r="B290" t="str">
            <v>CONCRETO ESTRUTURAL FCK=22MPA</v>
          </cell>
          <cell r="C290" t="str">
            <v>m³</v>
          </cell>
          <cell r="E290">
            <v>220</v>
          </cell>
          <cell r="H290" t="str">
            <v>Custos Básicos</v>
          </cell>
        </row>
        <row r="291">
          <cell r="A291" t="str">
            <v>A.01.423.00</v>
          </cell>
          <cell r="B291" t="str">
            <v>CONCRETO FCK=18MPA P/PRÉ-MOLDADOS</v>
          </cell>
          <cell r="C291" t="str">
            <v>m³</v>
          </cell>
          <cell r="E291">
            <v>202.14000000000004</v>
          </cell>
          <cell r="H291" t="str">
            <v>Custos Básicos</v>
          </cell>
        </row>
        <row r="292">
          <cell r="A292" t="str">
            <v>A.01.424.00</v>
          </cell>
          <cell r="B292" t="str">
            <v>CONCRETO POROSO P/PRÉ-MOLDADOS (TUBOS)</v>
          </cell>
          <cell r="C292" t="str">
            <v>m³</v>
          </cell>
          <cell r="E292">
            <v>200.13000000000002</v>
          </cell>
          <cell r="H292" t="str">
            <v>Custos Básicos</v>
          </cell>
        </row>
        <row r="293">
          <cell r="A293" t="str">
            <v>A.01.450.01</v>
          </cell>
          <cell r="B293" t="str">
            <v>ESCORAMENTO DE BUEIROS CELULARES</v>
          </cell>
          <cell r="C293" t="str">
            <v>m³</v>
          </cell>
          <cell r="E293">
            <v>18.939999999999998</v>
          </cell>
          <cell r="H293" t="str">
            <v>Custos Básicos</v>
          </cell>
        </row>
        <row r="294">
          <cell r="A294" t="str">
            <v>A.01.512.10</v>
          </cell>
          <cell r="B294" t="str">
            <v>CONCRETO CICLÓPICO FCK=12MPA</v>
          </cell>
          <cell r="C294" t="str">
            <v>m³</v>
          </cell>
          <cell r="E294">
            <v>157.22</v>
          </cell>
          <cell r="H294" t="str">
            <v>Custos Básicos</v>
          </cell>
        </row>
        <row r="295">
          <cell r="A295" t="str">
            <v>A.01.515.10</v>
          </cell>
          <cell r="B295" t="str">
            <v>CONCRETO CICLÓPICO FCK=15MPA</v>
          </cell>
          <cell r="C295" t="str">
            <v>m³</v>
          </cell>
          <cell r="E295">
            <v>162.76000000000002</v>
          </cell>
          <cell r="H295" t="str">
            <v>Custos Básicos</v>
          </cell>
        </row>
        <row r="296">
          <cell r="A296" t="str">
            <v>A.01.580.01</v>
          </cell>
          <cell r="B296" t="str">
            <v>FORNECIMENTO, PREPARO E COLOCAÇÃO DE AÇO CA-60</v>
          </cell>
          <cell r="C296" t="str">
            <v>kg</v>
          </cell>
          <cell r="E296">
            <v>2.9599999999999995</v>
          </cell>
          <cell r="H296" t="str">
            <v>Custos Básicos</v>
          </cell>
        </row>
        <row r="297">
          <cell r="A297" t="str">
            <v>A.01.580.02</v>
          </cell>
          <cell r="B297" t="str">
            <v>FORNECIMENTO, PREPARO E COLOCAÇÃO DE AÇO CA-50</v>
          </cell>
          <cell r="C297" t="str">
            <v>kg</v>
          </cell>
          <cell r="E297">
            <v>2.8699999999999997</v>
          </cell>
          <cell r="H297" t="str">
            <v>Custos Básicos</v>
          </cell>
        </row>
        <row r="298">
          <cell r="A298" t="str">
            <v>A.01.603.01</v>
          </cell>
          <cell r="B298" t="str">
            <v>ARGAMASSA CIMENTO AREIA 1:3</v>
          </cell>
          <cell r="C298" t="str">
            <v>m³</v>
          </cell>
          <cell r="E298">
            <v>209.98999999999998</v>
          </cell>
          <cell r="H298" t="str">
            <v>Custos Básicos</v>
          </cell>
        </row>
        <row r="299">
          <cell r="A299" t="str">
            <v>A.01.604.01</v>
          </cell>
          <cell r="B299" t="str">
            <v>ARGAMASSA CIMENTO AREIA 1:4</v>
          </cell>
          <cell r="C299" t="str">
            <v>m³</v>
          </cell>
          <cell r="E299">
            <v>180.47</v>
          </cell>
          <cell r="H299" t="str">
            <v>Custos Básicos</v>
          </cell>
        </row>
        <row r="300">
          <cell r="A300" t="str">
            <v>A.01.620.01</v>
          </cell>
          <cell r="B300" t="str">
            <v>ARGAMASSA CIMENTO SOLO 1:10</v>
          </cell>
          <cell r="C300" t="str">
            <v>m³</v>
          </cell>
          <cell r="E300">
            <v>84.59</v>
          </cell>
          <cell r="H300" t="str">
            <v>Custos Básicos</v>
          </cell>
        </row>
        <row r="301">
          <cell r="A301" t="str">
            <v>A.01.730.00</v>
          </cell>
          <cell r="B301" t="str">
            <v>CONCRETO FCK=18MPA P/PRÉ-MOLDADOS (MOURÕES)</v>
          </cell>
          <cell r="C301" t="str">
            <v>m³</v>
          </cell>
          <cell r="E301">
            <v>194.5</v>
          </cell>
          <cell r="H301" t="str">
            <v>Custos Básicos</v>
          </cell>
        </row>
        <row r="302">
          <cell r="A302" t="str">
            <v>A.01.730.01</v>
          </cell>
          <cell r="B302" t="str">
            <v>MOURÃO DE CONCRETO ESTICADOR SEÇÃO QUADRADA 15CM</v>
          </cell>
          <cell r="C302" t="str">
            <v>unid.</v>
          </cell>
          <cell r="E302">
            <v>19.82</v>
          </cell>
          <cell r="H302" t="str">
            <v>Custos Básicos</v>
          </cell>
        </row>
        <row r="303">
          <cell r="A303" t="str">
            <v>A.01.735.01</v>
          </cell>
          <cell r="B303" t="str">
            <v>MOURÃO DE CONCRETO SUPORTE SEÇÃO QUADRADA 11CM</v>
          </cell>
          <cell r="C303" t="str">
            <v>unid.</v>
          </cell>
          <cell r="E303">
            <v>13.5</v>
          </cell>
          <cell r="H303" t="str">
            <v>Custos Básicos</v>
          </cell>
        </row>
        <row r="304">
          <cell r="A304" t="str">
            <v>A.01.740.01</v>
          </cell>
          <cell r="B304" t="str">
            <v>TUBO DE CONCRETO PERFURADO D=0,20M</v>
          </cell>
          <cell r="C304" t="str">
            <v>m</v>
          </cell>
          <cell r="E304">
            <v>9.33</v>
          </cell>
          <cell r="H304" t="str">
            <v>Custos Básicos</v>
          </cell>
        </row>
        <row r="305">
          <cell r="A305" t="str">
            <v>A.01.741.01</v>
          </cell>
          <cell r="B305" t="str">
            <v>TUBO DE CONCRETO POROSO D=0,20M</v>
          </cell>
          <cell r="C305" t="str">
            <v>m</v>
          </cell>
          <cell r="E305">
            <v>9.07</v>
          </cell>
          <cell r="H305" t="str">
            <v>Custos Básicos</v>
          </cell>
        </row>
        <row r="306">
          <cell r="A306" t="str">
            <v>A.01.745.01</v>
          </cell>
          <cell r="B306" t="str">
            <v>TUBO DE CONCRETO D=0,30M</v>
          </cell>
          <cell r="C306" t="str">
            <v>m</v>
          </cell>
          <cell r="E306">
            <v>15.2</v>
          </cell>
          <cell r="H306" t="str">
            <v>Custos Básicos</v>
          </cell>
        </row>
        <row r="307">
          <cell r="A307" t="str">
            <v>A.01.760.01</v>
          </cell>
          <cell r="B307" t="str">
            <v>TUBO DE CONCRETO ARMADO D=0,80M</v>
          </cell>
          <cell r="C307" t="str">
            <v>m</v>
          </cell>
          <cell r="E307">
            <v>123.72</v>
          </cell>
          <cell r="H307" t="str">
            <v>Custos Básicos</v>
          </cell>
        </row>
        <row r="308">
          <cell r="A308" t="str">
            <v>A.01.765.01</v>
          </cell>
          <cell r="B308" t="str">
            <v>TUBO DE CONCRETO ARMADO D=1,00M</v>
          </cell>
          <cell r="C308" t="str">
            <v>m</v>
          </cell>
          <cell r="E308">
            <v>186.10000000000002</v>
          </cell>
          <cell r="H308" t="str">
            <v>Custos Básicos</v>
          </cell>
        </row>
        <row r="309">
          <cell r="A309" t="str">
            <v>A.01.770.01</v>
          </cell>
          <cell r="B309" t="str">
            <v>TUBO DE CONCRETO ARMADO D=1,20M</v>
          </cell>
          <cell r="C309" t="str">
            <v>m</v>
          </cell>
          <cell r="E309">
            <v>256.64</v>
          </cell>
          <cell r="H309" t="str">
            <v>Custos Básicos</v>
          </cell>
        </row>
        <row r="310">
          <cell r="A310" t="str">
            <v>A.01.780.01</v>
          </cell>
          <cell r="B310" t="str">
            <v>OBTENÇÃO DE GRAMA P/REPLANTIO</v>
          </cell>
          <cell r="C310" t="str">
            <v>m²</v>
          </cell>
          <cell r="E310">
            <v>0.56000000000000005</v>
          </cell>
          <cell r="H310" t="str">
            <v>Custos Básicos</v>
          </cell>
        </row>
        <row r="311">
          <cell r="A311" t="str">
            <v>A.01.790.01</v>
          </cell>
          <cell r="B311" t="str">
            <v>GUIA DE MADEIRA 2,5X7,0CM</v>
          </cell>
          <cell r="C311" t="str">
            <v>m</v>
          </cell>
          <cell r="E311">
            <v>1.1599999999999999</v>
          </cell>
          <cell r="H311" t="str">
            <v>Custos Básicos</v>
          </cell>
        </row>
        <row r="312">
          <cell r="A312" t="str">
            <v>A.01.790.02</v>
          </cell>
          <cell r="B312" t="str">
            <v>GUIA DE MADEIRA 2,5X10,0CM</v>
          </cell>
          <cell r="C312" t="str">
            <v>m</v>
          </cell>
          <cell r="E312">
            <v>1.23</v>
          </cell>
          <cell r="H312" t="str">
            <v>Custos Básicos</v>
          </cell>
        </row>
        <row r="313">
          <cell r="A313" t="str">
            <v>A.01.890.01</v>
          </cell>
          <cell r="B313" t="str">
            <v>ESCAVAÇÃO MANUAL EM MATERIAL DE 1ª CATEGORIA</v>
          </cell>
          <cell r="C313" t="str">
            <v>m³</v>
          </cell>
          <cell r="E313">
            <v>12.45</v>
          </cell>
          <cell r="H313" t="str">
            <v>Custos Básicos</v>
          </cell>
        </row>
        <row r="314">
          <cell r="A314" t="str">
            <v>A.01.891.01</v>
          </cell>
          <cell r="B314" t="str">
            <v>ESCAVAÇÃO MANUAL DE VALA EM MATERIAL DE 1ª CATEGORIA</v>
          </cell>
          <cell r="C314" t="str">
            <v>m³</v>
          </cell>
          <cell r="E314">
            <v>14.4</v>
          </cell>
          <cell r="H314" t="str">
            <v>Custos Básicos</v>
          </cell>
        </row>
        <row r="315">
          <cell r="A315" t="str">
            <v>A.01.892.01</v>
          </cell>
          <cell r="B315" t="str">
            <v>ESCAVAÇÃO MECÂNICA DE VALA EM MATERIAL DE 1ª CATEGORIA</v>
          </cell>
          <cell r="C315" t="str">
            <v>m³</v>
          </cell>
          <cell r="E315">
            <v>1.78</v>
          </cell>
          <cell r="H315" t="str">
            <v>Custos Básicos</v>
          </cell>
        </row>
        <row r="316">
          <cell r="A316" t="str">
            <v>A.01.893.01</v>
          </cell>
          <cell r="B316" t="str">
            <v>COMPACTAÇÃO MANUAL</v>
          </cell>
          <cell r="C316" t="str">
            <v>m³</v>
          </cell>
          <cell r="E316">
            <v>5.14</v>
          </cell>
          <cell r="H316" t="str">
            <v>Custos Básicos</v>
          </cell>
        </row>
        <row r="317">
          <cell r="A317" t="str">
            <v>B.00.301.00</v>
          </cell>
          <cell r="B317" t="str">
            <v>ALVENARIA DE PEDRA ARGAMASSADA</v>
          </cell>
          <cell r="C317" t="str">
            <v>m³</v>
          </cell>
          <cell r="E317">
            <v>126.33000000000001</v>
          </cell>
          <cell r="H317" t="str">
            <v>Custos Básicos</v>
          </cell>
        </row>
        <row r="318">
          <cell r="A318" t="str">
            <v>B.00.903.01</v>
          </cell>
          <cell r="B318" t="str">
            <v>DENTES PARA BUEIROS DUPLOS D=1,00M</v>
          </cell>
          <cell r="C318" t="str">
            <v>unid.</v>
          </cell>
          <cell r="E318">
            <v>86.6</v>
          </cell>
          <cell r="H318" t="str">
            <v>Custos Básicos</v>
          </cell>
        </row>
        <row r="319">
          <cell r="A319" t="str">
            <v>B.00.904.01</v>
          </cell>
          <cell r="B319" t="str">
            <v>DENTES PARA BUEIROS DUPLOS D=1,20M</v>
          </cell>
          <cell r="C319" t="str">
            <v>unid.</v>
          </cell>
          <cell r="E319">
            <v>98.320000000000007</v>
          </cell>
          <cell r="H319" t="str">
            <v>Custos Básicos</v>
          </cell>
        </row>
        <row r="320">
          <cell r="A320" t="str">
            <v>B.00.907.01</v>
          </cell>
          <cell r="B320" t="str">
            <v>DENTES PARA BUEIROS SIMPLES D=0,80M</v>
          </cell>
          <cell r="C320" t="str">
            <v>unid.</v>
          </cell>
          <cell r="E320">
            <v>36.270000000000003</v>
          </cell>
          <cell r="H320" t="str">
            <v>Custos Básicos</v>
          </cell>
        </row>
        <row r="321">
          <cell r="A321" t="str">
            <v>B.00.908.01</v>
          </cell>
          <cell r="B321" t="str">
            <v>DENTES PARA BUEIROS SIMPLES D=1,00M</v>
          </cell>
          <cell r="C321" t="str">
            <v>unid.</v>
          </cell>
          <cell r="E321">
            <v>43.22</v>
          </cell>
          <cell r="H321" t="str">
            <v>Custos Básicos</v>
          </cell>
        </row>
        <row r="322">
          <cell r="A322" t="str">
            <v>B.00.909.01</v>
          </cell>
          <cell r="B322" t="str">
            <v>DENTES PARA BUEIROS SIMPLES D=1,20M</v>
          </cell>
          <cell r="C322" t="str">
            <v>unid.</v>
          </cell>
          <cell r="E322">
            <v>49.24</v>
          </cell>
          <cell r="H322" t="str">
            <v>Custos Básicos</v>
          </cell>
        </row>
        <row r="323">
          <cell r="A323" t="str">
            <v>B.00.911.01</v>
          </cell>
          <cell r="B323" t="str">
            <v>DENTES PARA BUEIROS TRIPLOS D=1,00M</v>
          </cell>
          <cell r="C323" t="str">
            <v>unid.</v>
          </cell>
          <cell r="E323">
            <v>127.64999999999999</v>
          </cell>
          <cell r="H323" t="str">
            <v>Custos Básicos</v>
          </cell>
        </row>
        <row r="324">
          <cell r="A324" t="str">
            <v>B.00.999.06</v>
          </cell>
          <cell r="B324" t="str">
            <v>SOLO LOCAL / SELO DE ARGILA APILOADO</v>
          </cell>
          <cell r="C324" t="str">
            <v>m³</v>
          </cell>
          <cell r="E324">
            <v>6.74</v>
          </cell>
          <cell r="H324" t="str">
            <v>Custos Básicos</v>
          </cell>
        </row>
        <row r="325">
          <cell r="H325" t="str">
            <v>Custos Básicos</v>
          </cell>
        </row>
        <row r="326">
          <cell r="H326" t="str">
            <v>Custos Básicos</v>
          </cell>
        </row>
        <row r="327">
          <cell r="H327" t="str">
            <v>Custos Básicos</v>
          </cell>
        </row>
        <row r="328">
          <cell r="H328" t="str">
            <v>Custos Básicos</v>
          </cell>
        </row>
        <row r="329">
          <cell r="H329" t="str">
            <v>Custos Básicos</v>
          </cell>
        </row>
        <row r="330">
          <cell r="H330" t="str">
            <v>Custos Básicos</v>
          </cell>
        </row>
        <row r="331">
          <cell r="H331" t="str">
            <v>Custos Básicos</v>
          </cell>
        </row>
        <row r="332">
          <cell r="H332" t="str">
            <v>Custos Básicos</v>
          </cell>
        </row>
        <row r="333">
          <cell r="H333" t="str">
            <v>Custos Básicos</v>
          </cell>
        </row>
        <row r="334">
          <cell r="H334" t="str">
            <v>Custos Básicos</v>
          </cell>
        </row>
        <row r="335">
          <cell r="H335" t="str">
            <v>Custos Básicos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O"/>
      <sheetName val="MAT"/>
      <sheetName val="EQUIP"/>
      <sheetName val="OUTROS"/>
      <sheetName val="BDI"/>
      <sheetName val="LEISSOCIAIS"/>
      <sheetName val="CPU-L1"/>
      <sheetName val="RESUMO"/>
      <sheetName val="PLANILH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 "/>
      <sheetName val="CAPA -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"/>
      <sheetName val="Motors-loads S01"/>
      <sheetName val="Motors-loads S02"/>
      <sheetName val="Motors-loads S03"/>
      <sheetName val="Motors-loadsS04"/>
      <sheetName val="Motors-loads S05"/>
      <sheetName val="Motors-loads S06"/>
      <sheetName val="Motors-loads S07"/>
      <sheetName val="Motors-loads S08"/>
      <sheetName val="Motors-loads S09"/>
      <sheetName val="CValves-instr S01"/>
      <sheetName val="CValves-instr S02"/>
      <sheetName val="CValves-instr S03"/>
      <sheetName val="CValves-instr S04"/>
      <sheetName val="CValves-instr S05"/>
      <sheetName val="CValves-instr S06"/>
      <sheetName val="CValves-instr S07"/>
      <sheetName val="CValves-instr S08"/>
      <sheetName val="CValves-instr S09"/>
      <sheetName val="MV cubicle"/>
      <sheetName val="Iluminação"/>
      <sheetName val="instalaçao cabos MT "/>
      <sheetName val="cabos"/>
      <sheetName val="Eletrod_ acessórios Fl_01"/>
      <sheetName val="Eletrod_ acessórios Fl_02"/>
      <sheetName val="Eletrod_ acessórios Fl_03"/>
      <sheetName val="Eletrod_ pvc Fl_04"/>
      <sheetName val="Caixas de pass_ Fl_05"/>
      <sheetName val="Caixas de pass_ Fl_06"/>
      <sheetName val="LEITOS E ACESSÓRIOS_FL07"/>
      <sheetName val="LEITOS E ACESSÓRIOS_FL08"/>
      <sheetName val="caixas de comando local_FL09"/>
      <sheetName val="rotas "/>
      <sheetName val="AR CONDIC"/>
      <sheetName val="Sistema 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Dados_da_Obra"/>
    </sheetNames>
    <sheetDataSet>
      <sheetData sheetId="0" refreshError="1">
        <row r="1">
          <cell r="A1" t="str">
            <v>CÓDIGO</v>
          </cell>
          <cell r="B1" t="str">
            <v>DESCRIÇÃO</v>
          </cell>
          <cell r="C1" t="str">
            <v>UNID.</v>
          </cell>
          <cell r="D1" t="str">
            <v>ESPECIFICAÇÃO</v>
          </cell>
          <cell r="E1" t="str">
            <v>CUSTO UNITÁRIO</v>
          </cell>
          <cell r="F1" t="str">
            <v>BDI</v>
          </cell>
          <cell r="G1" t="str">
            <v>PREÇO UNITÁRIO</v>
          </cell>
          <cell r="H1" t="str">
            <v>GRUPO</v>
          </cell>
        </row>
        <row r="3">
          <cell r="A3" t="str">
            <v>TERRAPLENAGEM</v>
          </cell>
        </row>
        <row r="4">
          <cell r="A4" t="str">
            <v>01.000.00</v>
          </cell>
          <cell r="B4" t="str">
            <v>DESMATAMENTO, DESTOC. E LIMPEZA ÁREA C/ ÁRVORES DE Ø ATÉ 0,15M</v>
          </cell>
          <cell r="C4" t="str">
            <v>m²</v>
          </cell>
          <cell r="D4" t="str">
            <v>DNER-ES-278/97</v>
          </cell>
          <cell r="E4">
            <v>0.11</v>
          </cell>
          <cell r="F4">
            <v>0.04</v>
          </cell>
          <cell r="G4">
            <v>0.15</v>
          </cell>
          <cell r="H4" t="str">
            <v>Terraplenagem</v>
          </cell>
        </row>
        <row r="5">
          <cell r="A5" t="str">
            <v>01.010.00</v>
          </cell>
          <cell r="B5" t="str">
            <v>DESTOCAMENTO DE ÁRVORES D=0,15 A 0,30M</v>
          </cell>
          <cell r="C5" t="str">
            <v>unid.</v>
          </cell>
          <cell r="D5" t="str">
            <v>DNER-ES-278/97</v>
          </cell>
          <cell r="E5">
            <v>10.27</v>
          </cell>
          <cell r="F5">
            <v>3.36</v>
          </cell>
          <cell r="G5">
            <v>13.629999999999999</v>
          </cell>
          <cell r="H5" t="str">
            <v>Terraplenagem</v>
          </cell>
        </row>
        <row r="6">
          <cell r="A6" t="str">
            <v>01.012.00</v>
          </cell>
          <cell r="B6" t="str">
            <v>DESTOCAMENTO DE ÁRVORES C/DIÂMETRO &gt;  0,30M</v>
          </cell>
          <cell r="C6" t="str">
            <v>unid.</v>
          </cell>
          <cell r="D6" t="str">
            <v>DNER-ES-278/97</v>
          </cell>
          <cell r="E6">
            <v>25.66</v>
          </cell>
          <cell r="F6">
            <v>8.39</v>
          </cell>
          <cell r="G6">
            <v>34.049999999999997</v>
          </cell>
          <cell r="H6" t="str">
            <v>Terraplenagem</v>
          </cell>
        </row>
        <row r="7">
          <cell r="A7" t="str">
            <v>01.100.01</v>
          </cell>
          <cell r="B7" t="str">
            <v>ESCAVAÇÃO, CARGA, TRANSPORTE MAT. 1ª CATEGORIA DMT=50M</v>
          </cell>
          <cell r="C7" t="str">
            <v>m³</v>
          </cell>
          <cell r="D7" t="str">
            <v>DNER-ES-281/97</v>
          </cell>
          <cell r="E7">
            <v>0.54</v>
          </cell>
          <cell r="F7">
            <v>0.18</v>
          </cell>
          <cell r="G7">
            <v>0.72</v>
          </cell>
          <cell r="H7" t="str">
            <v>Terraplenagem</v>
          </cell>
        </row>
        <row r="8">
          <cell r="A8" t="str">
            <v>01.100.02</v>
          </cell>
          <cell r="B8" t="str">
            <v>ESCAVAÇÃO, CARGA, TRANSPORTE MAT. 1ª CATEGORIA DMT=50M A 200M COM MOTOSCRAPER</v>
          </cell>
          <cell r="C8" t="str">
            <v>m³</v>
          </cell>
          <cell r="D8" t="str">
            <v>DNER-ES-280/97</v>
          </cell>
          <cell r="E8">
            <v>1.58</v>
          </cell>
          <cell r="F8">
            <v>0.52</v>
          </cell>
          <cell r="G8">
            <v>2.1</v>
          </cell>
          <cell r="H8" t="str">
            <v>Terraplenagem</v>
          </cell>
        </row>
        <row r="9">
          <cell r="A9" t="str">
            <v>01.100.03</v>
          </cell>
          <cell r="B9" t="str">
            <v>ESCAVAÇÃO, CARGA, TRANSPORTE MAT. 1ª CATEGORIA DMT=200M A 400M COM MOTOSCRAPER</v>
          </cell>
          <cell r="C9" t="str">
            <v>m³</v>
          </cell>
          <cell r="D9" t="str">
            <v>DNER-ES-280/97</v>
          </cell>
          <cell r="E9">
            <v>1.9</v>
          </cell>
          <cell r="F9">
            <v>0.62</v>
          </cell>
          <cell r="G9">
            <v>2.52</v>
          </cell>
          <cell r="H9" t="str">
            <v>Terraplenagem</v>
          </cell>
        </row>
        <row r="10">
          <cell r="A10" t="str">
            <v>01.100.04</v>
          </cell>
          <cell r="B10" t="str">
            <v>ESCAVAÇÃO, CARGA, TRANSPORTE MAT. 1ª CATEGORIA DMT=400M A 600M COM MOTOSCRAPER</v>
          </cell>
          <cell r="C10" t="str">
            <v>m³</v>
          </cell>
          <cell r="D10" t="str">
            <v>DNER-ES-280/97</v>
          </cell>
          <cell r="E10">
            <v>2.2400000000000002</v>
          </cell>
          <cell r="F10">
            <v>0.73</v>
          </cell>
          <cell r="G10">
            <v>2.97</v>
          </cell>
          <cell r="H10" t="str">
            <v>Terraplenagem</v>
          </cell>
        </row>
        <row r="11">
          <cell r="A11" t="str">
            <v>01.100.05</v>
          </cell>
          <cell r="B11" t="str">
            <v>ESCAVAÇÃO, CARGA, TRANSPORTE MAT. 1ª CATEGORIA DMT=600M A 800M COM MOTOSCRAPER</v>
          </cell>
          <cell r="C11" t="str">
            <v>m³</v>
          </cell>
          <cell r="D11" t="str">
            <v>DNER-ES-280/97</v>
          </cell>
          <cell r="E11">
            <v>2.54</v>
          </cell>
          <cell r="F11">
            <v>0.83</v>
          </cell>
          <cell r="G11">
            <v>3.37</v>
          </cell>
          <cell r="H11" t="str">
            <v>Terraplenagem</v>
          </cell>
        </row>
        <row r="12">
          <cell r="A12" t="str">
            <v>01.100.06</v>
          </cell>
          <cell r="B12" t="str">
            <v>ESCAVAÇÃO, CARGA, TRANSPORTE MAT. 1ª CATEGORIA DMT=800M A 1000M COM MOTOSCRAPER</v>
          </cell>
          <cell r="C12" t="str">
            <v>m³</v>
          </cell>
          <cell r="D12" t="str">
            <v>DNER-ES-280/97</v>
          </cell>
          <cell r="E12">
            <v>2.92</v>
          </cell>
          <cell r="F12">
            <v>0.95</v>
          </cell>
          <cell r="G12">
            <v>3.87</v>
          </cell>
          <cell r="H12" t="str">
            <v>Terraplenagem</v>
          </cell>
        </row>
        <row r="13">
          <cell r="A13" t="str">
            <v>01.100.07</v>
          </cell>
          <cell r="B13" t="str">
            <v>ESCAVAÇÃO, CARGA, TRANSPORTE MAT. 1ª CATEGORIA DMT=1000M A 1200M COM MOTOSCRAPER</v>
          </cell>
          <cell r="C13" t="str">
            <v>m³</v>
          </cell>
          <cell r="D13" t="str">
            <v>DNER-ES-280/97</v>
          </cell>
          <cell r="E13">
            <v>3.32</v>
          </cell>
          <cell r="F13">
            <v>1.08</v>
          </cell>
          <cell r="G13">
            <v>4.4000000000000004</v>
          </cell>
          <cell r="H13" t="str">
            <v>Terraplenagem</v>
          </cell>
        </row>
        <row r="14">
          <cell r="A14" t="str">
            <v>01.100.11</v>
          </cell>
          <cell r="B14" t="str">
            <v>ESCAVAÇÃO, CARGA, TRANSPORTE MAT. 1ª CATEGORIA DMT=400M A 600M COM CAMINHÃO BASCULANTE</v>
          </cell>
          <cell r="C14" t="str">
            <v>m³</v>
          </cell>
          <cell r="D14" t="str">
            <v>DNER-ES-280/97</v>
          </cell>
          <cell r="E14">
            <v>2.0099999999999998</v>
          </cell>
          <cell r="F14">
            <v>0.66</v>
          </cell>
          <cell r="G14">
            <v>2.67</v>
          </cell>
          <cell r="H14" t="str">
            <v>Terraplenagem</v>
          </cell>
        </row>
        <row r="15">
          <cell r="A15" t="str">
            <v>01.100.15</v>
          </cell>
          <cell r="B15" t="str">
            <v>ESCAVAÇÃO, CARGA, TRANSPORTE MAT. 1ª CATEGORIA DMT=1200M A 1400M COM CAMINHÃO BASCULANTE</v>
          </cell>
          <cell r="C15" t="str">
            <v>m³</v>
          </cell>
          <cell r="D15" t="str">
            <v>DNER-ES-280/97</v>
          </cell>
          <cell r="E15">
            <v>2.4900000000000002</v>
          </cell>
          <cell r="F15">
            <v>0.81</v>
          </cell>
          <cell r="G15">
            <v>3.3000000000000003</v>
          </cell>
          <cell r="H15" t="str">
            <v>Terraplenagem</v>
          </cell>
        </row>
        <row r="16">
          <cell r="A16" t="str">
            <v>01.100.16</v>
          </cell>
          <cell r="B16" t="str">
            <v>ESCAVAÇÃO, CARGA, TRANSPORTE MAT. 1ª CATEGORIA DMT=1400M A 1600M COM CAMINHÃO BASCULANTE</v>
          </cell>
          <cell r="C16" t="str">
            <v>m³</v>
          </cell>
          <cell r="D16" t="str">
            <v>DNER-ES-280/97</v>
          </cell>
          <cell r="E16">
            <v>2.57</v>
          </cell>
          <cell r="F16">
            <v>0.84</v>
          </cell>
          <cell r="G16">
            <v>3.4099999999999997</v>
          </cell>
          <cell r="H16" t="str">
            <v>Terraplenagem</v>
          </cell>
        </row>
        <row r="17">
          <cell r="A17" t="str">
            <v>01.100.17</v>
          </cell>
          <cell r="B17" t="str">
            <v>ESCAVAÇÃO, CARGA, TRANSPORTE MAT. 1ª CATEGORIA DMT=1600M A 1800M COM CAMINHÃO BASCULANTE</v>
          </cell>
          <cell r="C17" t="str">
            <v>m³</v>
          </cell>
          <cell r="D17" t="str">
            <v>DNER-ES-280/97</v>
          </cell>
          <cell r="E17">
            <v>2.63</v>
          </cell>
          <cell r="F17">
            <v>0.86</v>
          </cell>
          <cell r="G17">
            <v>3.4899999999999998</v>
          </cell>
          <cell r="H17" t="str">
            <v>Terraplenagem</v>
          </cell>
        </row>
        <row r="18">
          <cell r="A18" t="str">
            <v>01.100.18</v>
          </cell>
          <cell r="B18" t="str">
            <v>ESCAVAÇÃO, CARGA, TRANSPORTE MAT. 1ª CATEGORIA DMT=1800M A 2000M COM CAMINHÃO BASCULANTE</v>
          </cell>
          <cell r="C18" t="str">
            <v>m³</v>
          </cell>
          <cell r="D18" t="str">
            <v>DNER-ES-280/97</v>
          </cell>
          <cell r="E18">
            <v>2.77</v>
          </cell>
          <cell r="F18">
            <v>0.91</v>
          </cell>
          <cell r="G18">
            <v>3.68</v>
          </cell>
          <cell r="H18" t="str">
            <v>Terraplenagem</v>
          </cell>
        </row>
        <row r="19">
          <cell r="A19" t="str">
            <v>01.100.19</v>
          </cell>
          <cell r="B19" t="str">
            <v>ESCAVAÇÃO, CARGA, TRANSPORTE MAT. 1ª CATEGORIA DMT=2000M A 3000M COM CAMINHÃO BASCULANTE</v>
          </cell>
          <cell r="C19" t="str">
            <v>m³</v>
          </cell>
          <cell r="D19" t="str">
            <v>DNER-ES-280/97</v>
          </cell>
          <cell r="E19">
            <v>3.1</v>
          </cell>
          <cell r="F19">
            <v>1.01</v>
          </cell>
          <cell r="G19">
            <v>4.1100000000000003</v>
          </cell>
          <cell r="H19" t="str">
            <v>Terraplenagem</v>
          </cell>
        </row>
        <row r="20">
          <cell r="A20" t="str">
            <v>01.100.20</v>
          </cell>
          <cell r="B20" t="str">
            <v>ESCAVAÇÃO, CARGA, TRANSPORTE MAT. 1ª CATEGORIA DMT=3000M A 5000M COM CAMINHÃO BASCULANTE</v>
          </cell>
          <cell r="C20" t="str">
            <v>m³</v>
          </cell>
          <cell r="D20" t="str">
            <v>DNER-ES-280/97</v>
          </cell>
          <cell r="E20">
            <v>4</v>
          </cell>
          <cell r="F20">
            <v>1.31</v>
          </cell>
          <cell r="G20">
            <v>5.3100000000000005</v>
          </cell>
          <cell r="H20" t="str">
            <v>Terraplenagem</v>
          </cell>
        </row>
        <row r="21">
          <cell r="A21" t="str">
            <v>01.100.50</v>
          </cell>
          <cell r="B21" t="str">
            <v>ESCAVAÇÃO, CARGA, TRANSPORTE MAT. 1ª CATEGORIA DMT&gt;5000M COM CAMINHÃO BASCULANTE</v>
          </cell>
          <cell r="C21" t="str">
            <v>m³</v>
          </cell>
          <cell r="D21" t="str">
            <v>DNER-ES-280/97</v>
          </cell>
          <cell r="E21">
            <v>4.3499999999999996</v>
          </cell>
          <cell r="F21">
            <v>1.42</v>
          </cell>
          <cell r="G21">
            <v>5.77</v>
          </cell>
          <cell r="H21" t="str">
            <v>Terraplenagem</v>
          </cell>
        </row>
        <row r="22">
          <cell r="A22" t="str">
            <v>01.101.01</v>
          </cell>
          <cell r="B22" t="str">
            <v>ESCAVAÇÃO, CARGA, TRANSPORTE MAT. 2ª CATEGORIA DMT=50M</v>
          </cell>
          <cell r="C22" t="str">
            <v>m³</v>
          </cell>
          <cell r="D22" t="str">
            <v>DNER-ES-280/97</v>
          </cell>
          <cell r="E22">
            <v>1.1499999999999999</v>
          </cell>
          <cell r="F22">
            <v>0.38</v>
          </cell>
          <cell r="G22">
            <v>1.5299999999999998</v>
          </cell>
          <cell r="H22" t="str">
            <v>Terraplenagem</v>
          </cell>
        </row>
        <row r="23">
          <cell r="A23" t="str">
            <v>01.101.02</v>
          </cell>
          <cell r="B23" t="str">
            <v>ESCAVAÇÃO, CARGA, TRANSPORTE MAT. 2ª CATEGORIA DMT=50 A 200M COM MOTOSCRAPER</v>
          </cell>
          <cell r="C23" t="str">
            <v>m³</v>
          </cell>
          <cell r="D23" t="str">
            <v>DNER-ES-280/97</v>
          </cell>
          <cell r="E23">
            <v>2.73</v>
          </cell>
          <cell r="F23">
            <v>0.89</v>
          </cell>
          <cell r="G23">
            <v>3.62</v>
          </cell>
          <cell r="H23" t="str">
            <v>Terraplenagem</v>
          </cell>
        </row>
        <row r="24">
          <cell r="A24" t="str">
            <v>01.101.03</v>
          </cell>
          <cell r="B24" t="str">
            <v>ESCAVAÇÃO, CARGA, TRANSPORTE MAT. 2ª CATEGORIA DMT=200 A 400M COM MOTOSCRAPER</v>
          </cell>
          <cell r="C24" t="str">
            <v>m³</v>
          </cell>
          <cell r="D24" t="str">
            <v>DNER-ES-280/97</v>
          </cell>
          <cell r="E24">
            <v>2.75</v>
          </cell>
          <cell r="F24">
            <v>0.9</v>
          </cell>
          <cell r="G24">
            <v>3.65</v>
          </cell>
          <cell r="H24" t="str">
            <v>Terraplenagem</v>
          </cell>
        </row>
        <row r="25">
          <cell r="A25" t="str">
            <v>01.101.04</v>
          </cell>
          <cell r="B25" t="str">
            <v>ESCAVAÇÃO, CARGA, TRANSPORTE MAT. 2ª CATEGORIA DMT=400 A 600M COM MOTOSCRAPER</v>
          </cell>
          <cell r="C25" t="str">
            <v>m³</v>
          </cell>
          <cell r="D25" t="str">
            <v>DNER-ES-280/97</v>
          </cell>
          <cell r="E25">
            <v>3.31</v>
          </cell>
          <cell r="F25">
            <v>1.08</v>
          </cell>
          <cell r="G25">
            <v>4.3900000000000006</v>
          </cell>
          <cell r="H25" t="str">
            <v>Terraplenagem</v>
          </cell>
        </row>
        <row r="26">
          <cell r="A26" t="str">
            <v>01.101.05</v>
          </cell>
          <cell r="B26" t="str">
            <v>ESCAVAÇÃO, CARGA, TRANSPORTE MAT. 2ª CATEGORIA DMT=600 A 800M COM MOTOSCRAPER</v>
          </cell>
          <cell r="C26" t="str">
            <v>m³</v>
          </cell>
          <cell r="D26" t="str">
            <v>DNER-ES-280/97</v>
          </cell>
          <cell r="E26">
            <v>3.87</v>
          </cell>
          <cell r="F26">
            <v>1.26</v>
          </cell>
          <cell r="G26">
            <v>5.13</v>
          </cell>
          <cell r="H26" t="str">
            <v>Terraplenagem</v>
          </cell>
        </row>
        <row r="27">
          <cell r="A27" t="str">
            <v>01.101.06</v>
          </cell>
          <cell r="B27" t="str">
            <v>ESCAVAÇÃO, CARGA, TRANSPORTE MAT. 2ª CATEGORIA DMT=800 A 1000M COM MOTOSCRAPER</v>
          </cell>
          <cell r="C27" t="str">
            <v>m³</v>
          </cell>
          <cell r="D27" t="str">
            <v>DNER-ES-280/97</v>
          </cell>
          <cell r="E27">
            <v>4.43</v>
          </cell>
          <cell r="F27">
            <v>1.45</v>
          </cell>
          <cell r="G27">
            <v>5.88</v>
          </cell>
          <cell r="H27" t="str">
            <v>Terraplenagem</v>
          </cell>
        </row>
        <row r="28">
          <cell r="A28" t="str">
            <v>01.101.07</v>
          </cell>
          <cell r="B28" t="str">
            <v>ESCAVAÇÃO, CARGA, TRANSPORTE MAT. 2ª CATEGORIA DMT=1000 A 1200M COM MOTOSCRAPER</v>
          </cell>
          <cell r="C28" t="str">
            <v>m³</v>
          </cell>
          <cell r="D28" t="str">
            <v>DNER-ES-280/97</v>
          </cell>
          <cell r="E28">
            <v>4.43</v>
          </cell>
          <cell r="F28">
            <v>1.45</v>
          </cell>
          <cell r="G28">
            <v>5.88</v>
          </cell>
          <cell r="H28" t="str">
            <v>Terraplenagem</v>
          </cell>
        </row>
        <row r="29">
          <cell r="A29" t="str">
            <v>01.101.08</v>
          </cell>
          <cell r="B29" t="str">
            <v>ESCAVAÇÃO, CARGA, TRANSPORTE MAT. 2ª CATEGORIA DMT=1200 A 1400M COM MOTOSCRAPER</v>
          </cell>
          <cell r="C29" t="str">
            <v>m³</v>
          </cell>
          <cell r="D29" t="str">
            <v>DNER-ES-280/97</v>
          </cell>
          <cell r="E29">
            <v>5</v>
          </cell>
          <cell r="F29">
            <v>1.63</v>
          </cell>
          <cell r="G29">
            <v>6.63</v>
          </cell>
          <cell r="H29" t="str">
            <v>Terraplenagem</v>
          </cell>
        </row>
        <row r="30">
          <cell r="A30" t="str">
            <v>01.101.10</v>
          </cell>
          <cell r="B30" t="str">
            <v>ESCAVAÇÃO, CARGA, TRANSPORTE MAT. 2ª CATEGORIA DMT=1600 A 1800M COM MOTOSCRAPER</v>
          </cell>
          <cell r="C30" t="str">
            <v>m³</v>
          </cell>
          <cell r="D30" t="str">
            <v>DNER-ES-280/97</v>
          </cell>
          <cell r="E30">
            <v>3.04</v>
          </cell>
          <cell r="F30">
            <v>0.99</v>
          </cell>
          <cell r="G30">
            <v>4.03</v>
          </cell>
          <cell r="H30" t="str">
            <v>Terraplenagem</v>
          </cell>
        </row>
        <row r="31">
          <cell r="A31" t="str">
            <v>01.102.01</v>
          </cell>
          <cell r="B31" t="str">
            <v>ESCAVAÇÃO, CARGA, TRANSPORTE MAT. 3ª CATEGORIA DMT=50M</v>
          </cell>
          <cell r="C31" t="str">
            <v>m³</v>
          </cell>
          <cell r="D31" t="str">
            <v>DNER-ES-280/97</v>
          </cell>
          <cell r="E31">
            <v>9.1548099999999994</v>
          </cell>
          <cell r="F31">
            <v>2.99</v>
          </cell>
          <cell r="G31">
            <v>12.14481</v>
          </cell>
          <cell r="H31" t="str">
            <v>Terraplenagem</v>
          </cell>
        </row>
        <row r="32">
          <cell r="A32" t="str">
            <v>01.102.02</v>
          </cell>
          <cell r="B32" t="str">
            <v>ESCAVAÇÃO, CARGA, TRANSPORTE MAT. 3ª CATEGORIA DMT=50 A 200M COM CAMINHÃO BASCULANTE</v>
          </cell>
          <cell r="C32" t="str">
            <v>m³</v>
          </cell>
          <cell r="D32" t="str">
            <v>DNER-ES-280/97</v>
          </cell>
          <cell r="E32">
            <v>10.31481</v>
          </cell>
          <cell r="F32">
            <v>3.37</v>
          </cell>
          <cell r="G32">
            <v>13.684809999999999</v>
          </cell>
          <cell r="H32" t="str">
            <v>Terraplenagem</v>
          </cell>
        </row>
        <row r="33">
          <cell r="A33" t="str">
            <v>01.102.03</v>
          </cell>
          <cell r="B33" t="str">
            <v>ESCAVAÇÃO, CARGA, TRANSPORTE MAT. 3ª CATEGORIA DMT=200 A 400M COM CAMINHÃO BASCULANTE</v>
          </cell>
          <cell r="C33" t="str">
            <v>m³</v>
          </cell>
          <cell r="D33" t="str">
            <v>DNER-ES-280/97</v>
          </cell>
          <cell r="E33">
            <v>10.55481</v>
          </cell>
          <cell r="F33">
            <v>3.45</v>
          </cell>
          <cell r="G33">
            <v>14.004809999999999</v>
          </cell>
          <cell r="H33" t="str">
            <v>Terraplenagem</v>
          </cell>
        </row>
        <row r="34">
          <cell r="A34" t="str">
            <v>01.102.04</v>
          </cell>
          <cell r="B34" t="str">
            <v>ESCAVAÇÃO, CARGA, TRANSPORTE MAT. 3ª CATEGORIA DMT=400 A 600M COM CAMINHÃO BASCULANTE</v>
          </cell>
          <cell r="C34" t="str">
            <v>m³</v>
          </cell>
          <cell r="D34" t="str">
            <v>DNER-ES-280/97</v>
          </cell>
          <cell r="E34">
            <v>10.914809999999999</v>
          </cell>
          <cell r="F34">
            <v>3.57</v>
          </cell>
          <cell r="G34">
            <v>14.48481</v>
          </cell>
          <cell r="H34" t="str">
            <v>Terraplenagem</v>
          </cell>
        </row>
        <row r="35">
          <cell r="A35" t="str">
            <v>01.102.05</v>
          </cell>
          <cell r="B35" t="str">
            <v>ESCAVAÇÃO, CARGA, TRANSPORTE MAT. 3ª CATEGORIA DMT=600 A 800M COM CAMINHÃO BASCULANTE</v>
          </cell>
          <cell r="C35" t="str">
            <v>m³</v>
          </cell>
          <cell r="D35" t="str">
            <v>DNER-ES-280/97</v>
          </cell>
          <cell r="E35">
            <v>11.154809999999999</v>
          </cell>
          <cell r="F35">
            <v>3.65</v>
          </cell>
          <cell r="G35">
            <v>14.80481</v>
          </cell>
          <cell r="H35" t="str">
            <v>Terraplenagem</v>
          </cell>
        </row>
        <row r="36">
          <cell r="A36" t="str">
            <v>01.102.06</v>
          </cell>
          <cell r="B36" t="str">
            <v>ESCAVAÇÃO, CARGA, TRANSPORTE MAT. 3ª CATEGORIA DMT=800 A 1000M COM CAMINHÃO BASCULANTE</v>
          </cell>
          <cell r="C36" t="str">
            <v>m³</v>
          </cell>
          <cell r="D36" t="str">
            <v>DNER-ES-280/97</v>
          </cell>
          <cell r="E36">
            <v>11.38481</v>
          </cell>
          <cell r="F36">
            <v>3.72</v>
          </cell>
          <cell r="G36">
            <v>15.104810000000001</v>
          </cell>
          <cell r="H36" t="str">
            <v>Terraplenagem</v>
          </cell>
        </row>
        <row r="37">
          <cell r="A37" t="str">
            <v>01.102.07</v>
          </cell>
          <cell r="B37" t="str">
            <v>ESCAVAÇÃO, CARGA, TRANSPORTE MAT. 3ª CATEGORIA DMT=1000 A 1200M COM CAMINHÃO BASCULANTE</v>
          </cell>
          <cell r="C37" t="str">
            <v>m³</v>
          </cell>
          <cell r="D37" t="str">
            <v>DNER-ES-280/97</v>
          </cell>
          <cell r="E37">
            <v>11.494810000000001</v>
          </cell>
          <cell r="F37">
            <v>3.76</v>
          </cell>
          <cell r="G37">
            <v>15.254810000000001</v>
          </cell>
          <cell r="H37" t="str">
            <v>Terraplenagem</v>
          </cell>
        </row>
        <row r="38">
          <cell r="A38" t="str">
            <v>01.102.08</v>
          </cell>
          <cell r="B38" t="str">
            <v>ESCAVAÇÃO, CARGA, TRANSPORTE MAT. 3ª CATEGORIA DMT=1200 A 1400M COM CAMINHÃO BASCULANTE</v>
          </cell>
          <cell r="C38" t="str">
            <v>m³</v>
          </cell>
          <cell r="D38" t="str">
            <v>DNER-ES-280/97</v>
          </cell>
          <cell r="E38">
            <v>11.69481</v>
          </cell>
          <cell r="F38">
            <v>3.82</v>
          </cell>
          <cell r="G38">
            <v>15.514810000000001</v>
          </cell>
          <cell r="H38" t="str">
            <v>Terraplenagem</v>
          </cell>
        </row>
        <row r="39">
          <cell r="A39" t="str">
            <v>01.102.10</v>
          </cell>
          <cell r="B39" t="str">
            <v>ESCAVAÇÃO, CARGA, TRANSPORTE MAT. 3ª CATEGORIA DMT=1600 A 1800M COM CAMINHÃO BASCULANTE</v>
          </cell>
          <cell r="C39" t="str">
            <v>m³</v>
          </cell>
          <cell r="D39" t="str">
            <v>DNER-ES-280/97</v>
          </cell>
          <cell r="E39">
            <v>11.994810000000001</v>
          </cell>
          <cell r="F39">
            <v>3.92</v>
          </cell>
          <cell r="G39">
            <v>15.914810000000001</v>
          </cell>
          <cell r="H39" t="str">
            <v>Terraplenagem</v>
          </cell>
        </row>
        <row r="40">
          <cell r="A40" t="str">
            <v>01.102.12</v>
          </cell>
          <cell r="B40" t="str">
            <v>ESCAVAÇÃO, CARGA, TRANSPORTE MAT. 3ª CATEGORIA DMT=2000 A 3000M COM CAMINHÃO BASCULANTE</v>
          </cell>
          <cell r="C40" t="str">
            <v>m³</v>
          </cell>
          <cell r="D40" t="str">
            <v>DNER-ES-280/97</v>
          </cell>
          <cell r="E40">
            <v>12.164809999999999</v>
          </cell>
          <cell r="F40">
            <v>3.98</v>
          </cell>
          <cell r="G40">
            <v>16.14481</v>
          </cell>
          <cell r="H40" t="str">
            <v>Terraplenagem</v>
          </cell>
        </row>
        <row r="41">
          <cell r="A41" t="str">
            <v>01.102.13</v>
          </cell>
          <cell r="B41" t="str">
            <v>ESCAVAÇÃO, CARGA, TRANSPORTE MAT. 3ª CATEGORIA DMT=3000 A 5000M COM CAMINHÃO BASCULANTE</v>
          </cell>
          <cell r="C41" t="str">
            <v>m³</v>
          </cell>
          <cell r="D41" t="str">
            <v>DNER-ES-280/97</v>
          </cell>
          <cell r="E41">
            <v>12.36481</v>
          </cell>
          <cell r="F41">
            <v>4.04</v>
          </cell>
          <cell r="G41">
            <v>16.404810000000001</v>
          </cell>
          <cell r="H41" t="str">
            <v>Terraplenagem</v>
          </cell>
        </row>
        <row r="42">
          <cell r="A42" t="str">
            <v>01.300.01</v>
          </cell>
          <cell r="B42" t="str">
            <v>ESCAVAÇÃO CARGA TRANSPORTE DE SOLOS MOLES DMT 0 A 200M</v>
          </cell>
          <cell r="C42" t="str">
            <v>m³</v>
          </cell>
          <cell r="D42" t="str">
            <v>DNER-ES-280/97</v>
          </cell>
          <cell r="E42">
            <v>5.26</v>
          </cell>
          <cell r="F42">
            <v>1.72</v>
          </cell>
          <cell r="G42">
            <v>6.9799999999999995</v>
          </cell>
          <cell r="H42" t="str">
            <v>Terraplenagem</v>
          </cell>
        </row>
        <row r="43">
          <cell r="A43" t="str">
            <v>01.300.02</v>
          </cell>
          <cell r="B43" t="str">
            <v>ESCAVAÇÃO CARGA TRANSPORTE DE SOLOS MOLES DMT 200 A 400M</v>
          </cell>
          <cell r="C43" t="str">
            <v>m³</v>
          </cell>
          <cell r="D43" t="str">
            <v>DNER-ES-280/97</v>
          </cell>
          <cell r="E43">
            <v>5.65</v>
          </cell>
          <cell r="F43">
            <v>1.85</v>
          </cell>
          <cell r="G43">
            <v>7.5</v>
          </cell>
          <cell r="H43" t="str">
            <v>Terraplenagem</v>
          </cell>
        </row>
        <row r="44">
          <cell r="A44" t="str">
            <v>01.300.03</v>
          </cell>
          <cell r="B44" t="str">
            <v>ESCAVAÇÃO CARGA TRANSPORTE DE SOLOS MOLES DMT 400 A 600M</v>
          </cell>
          <cell r="C44" t="str">
            <v>m³</v>
          </cell>
          <cell r="D44" t="str">
            <v>DNER-ES-280/97</v>
          </cell>
          <cell r="E44">
            <v>5.81</v>
          </cell>
          <cell r="F44">
            <v>1.9</v>
          </cell>
          <cell r="G44">
            <v>7.7099999999999991</v>
          </cell>
          <cell r="H44" t="str">
            <v>Terraplenagem</v>
          </cell>
        </row>
        <row r="45">
          <cell r="A45" t="str">
            <v>01.300.04</v>
          </cell>
          <cell r="B45" t="str">
            <v>ESCAVAÇÃO CARGA TRANSPORTE DE SOLOS MOLES DMT 600 A 800M</v>
          </cell>
          <cell r="C45" t="str">
            <v>m³</v>
          </cell>
          <cell r="D45" t="str">
            <v>DNER-ES-280/97</v>
          </cell>
          <cell r="E45">
            <v>6</v>
          </cell>
          <cell r="F45">
            <v>1.96</v>
          </cell>
          <cell r="G45">
            <v>7.96</v>
          </cell>
          <cell r="H45" t="str">
            <v>Terraplenagem</v>
          </cell>
        </row>
        <row r="46">
          <cell r="A46" t="str">
            <v>01.300.05</v>
          </cell>
          <cell r="B46" t="str">
            <v>ESCAVAÇÃO CARGA TRANSPORTE DE SOLOS MOLES DMT 800 A 1000M</v>
          </cell>
          <cell r="C46" t="str">
            <v>m³</v>
          </cell>
          <cell r="D46" t="str">
            <v>DNER-ES-280/97</v>
          </cell>
          <cell r="E46">
            <v>6.39</v>
          </cell>
          <cell r="F46">
            <v>2.09</v>
          </cell>
          <cell r="G46">
            <v>8.48</v>
          </cell>
          <cell r="H46" t="str">
            <v>Terraplenagem</v>
          </cell>
        </row>
        <row r="47">
          <cell r="A47" t="str">
            <v>01.300.08</v>
          </cell>
          <cell r="B47" t="str">
            <v>ESCAVAÇÃO CARGA TRANSPORTE DE SOLOS MOLES DMT 1400 A 1600M</v>
          </cell>
          <cell r="C47" t="str">
            <v>m³</v>
          </cell>
          <cell r="D47" t="str">
            <v>DNER-ES-280/97</v>
          </cell>
          <cell r="E47">
            <v>6.94</v>
          </cell>
          <cell r="F47">
            <v>2.27</v>
          </cell>
          <cell r="G47">
            <v>9.2100000000000009</v>
          </cell>
          <cell r="H47" t="str">
            <v>Terraplenagem</v>
          </cell>
        </row>
        <row r="48">
          <cell r="A48" t="str">
            <v>01.300.09</v>
          </cell>
          <cell r="B48" t="str">
            <v>ESCAVAÇÃO CARGA TRANSPORTE DE SOLOS MOLES DMT 1600 A 1800M</v>
          </cell>
          <cell r="C48" t="str">
            <v>m³</v>
          </cell>
          <cell r="D48" t="str">
            <v>DNER-ES-280/97</v>
          </cell>
          <cell r="E48">
            <v>7.12</v>
          </cell>
          <cell r="F48">
            <v>2.33</v>
          </cell>
          <cell r="G48">
            <v>9.4499999999999993</v>
          </cell>
          <cell r="H48" t="str">
            <v>Terraplenagem</v>
          </cell>
        </row>
        <row r="49">
          <cell r="A49" t="str">
            <v>01.300.11</v>
          </cell>
          <cell r="B49" t="str">
            <v>ESCAVAÇÃO CARGA TRANSPORTE DE SOLOS MOLES DMT 2000 A 3000M</v>
          </cell>
          <cell r="C49" t="str">
            <v>m³</v>
          </cell>
          <cell r="D49" t="str">
            <v>DNER-ES-280/97</v>
          </cell>
          <cell r="E49">
            <v>7.77</v>
          </cell>
          <cell r="F49">
            <v>2.54</v>
          </cell>
          <cell r="G49">
            <v>10.309999999999999</v>
          </cell>
          <cell r="H49" t="str">
            <v>Terraplenagem</v>
          </cell>
        </row>
        <row r="50">
          <cell r="A50" t="str">
            <v>01.510.00</v>
          </cell>
          <cell r="B50" t="str">
            <v>COMPACTAÇÃO DE ATERROS A 95% DO PROCTOR NORMAL</v>
          </cell>
          <cell r="C50" t="str">
            <v>m³</v>
          </cell>
          <cell r="D50" t="str">
            <v>DNER-ES-282/97</v>
          </cell>
          <cell r="E50">
            <v>0.8</v>
          </cell>
          <cell r="F50">
            <v>0.26</v>
          </cell>
          <cell r="G50">
            <v>1.06</v>
          </cell>
          <cell r="H50" t="str">
            <v>Terraplenagem</v>
          </cell>
        </row>
        <row r="51">
          <cell r="A51" t="str">
            <v>01.511.00</v>
          </cell>
          <cell r="B51" t="str">
            <v>COMPACTAÇÃO DE ATERROS A 100% DO PROCTOR NORMAL</v>
          </cell>
          <cell r="C51" t="str">
            <v>m³</v>
          </cell>
          <cell r="D51" t="str">
            <v>DNER-ES-282/97</v>
          </cell>
          <cell r="E51">
            <v>0.95</v>
          </cell>
          <cell r="F51">
            <v>0.31</v>
          </cell>
          <cell r="G51">
            <v>1.26</v>
          </cell>
          <cell r="H51" t="str">
            <v>Terraplenagem</v>
          </cell>
        </row>
        <row r="52">
          <cell r="A52" t="str">
            <v>10.000.01</v>
          </cell>
          <cell r="B52" t="str">
            <v>CAMADA DRENANTE (AREIA) PARA FUNDAÇÃO EM ATERROS</v>
          </cell>
          <cell r="C52" t="str">
            <v>m³</v>
          </cell>
          <cell r="D52" t="str">
            <v>DNER-ES-282/98</v>
          </cell>
          <cell r="E52">
            <v>41</v>
          </cell>
          <cell r="F52">
            <v>13.4</v>
          </cell>
          <cell r="G52">
            <v>54.4</v>
          </cell>
          <cell r="H52" t="str">
            <v>Terraplenagem</v>
          </cell>
        </row>
        <row r="53">
          <cell r="A53" t="str">
            <v>DRENAGEM</v>
          </cell>
        </row>
        <row r="54">
          <cell r="A54" t="str">
            <v>04.000.00</v>
          </cell>
          <cell r="B54" t="str">
            <v>ESCAVAÇÃO MANUAL DE MATERIAL DE 1ª CATEGORIA</v>
          </cell>
          <cell r="C54" t="str">
            <v>m³</v>
          </cell>
          <cell r="D54" t="str">
            <v>DNER-ES-280/97</v>
          </cell>
          <cell r="E54">
            <v>15.54</v>
          </cell>
          <cell r="F54">
            <v>5.08</v>
          </cell>
          <cell r="G54">
            <v>20.619999999999997</v>
          </cell>
          <cell r="H54" t="str">
            <v>Drenagem</v>
          </cell>
        </row>
        <row r="55">
          <cell r="A55" t="str">
            <v>04.001.00</v>
          </cell>
          <cell r="B55" t="str">
            <v>ESCAVAÇÃO MECÂNICA DE VALA EM MATERIAL DE 1ª CATEGORIA</v>
          </cell>
          <cell r="C55" t="str">
            <v>m³</v>
          </cell>
          <cell r="D55" t="str">
            <v>DNER-ES-334/97</v>
          </cell>
          <cell r="E55">
            <v>1.78</v>
          </cell>
          <cell r="F55">
            <v>0.57999999999999996</v>
          </cell>
          <cell r="G55">
            <v>2.36</v>
          </cell>
          <cell r="H55" t="str">
            <v>Drenagem</v>
          </cell>
        </row>
        <row r="56">
          <cell r="A56" t="str">
            <v>04.001.01</v>
          </cell>
          <cell r="B56" t="str">
            <v>ESCAVAÇÃO MECÂNICA REAT. E COMP. VALA MATERIAL 1ª CATEGORIA</v>
          </cell>
          <cell r="C56" t="str">
            <v>m³</v>
          </cell>
          <cell r="D56" t="str">
            <v>DNER-ES-334/97</v>
          </cell>
          <cell r="E56">
            <v>3.06</v>
          </cell>
          <cell r="F56">
            <v>1</v>
          </cell>
          <cell r="G56">
            <v>4.0600000000000005</v>
          </cell>
          <cell r="H56" t="str">
            <v>Drenagem</v>
          </cell>
        </row>
        <row r="57">
          <cell r="A57" t="str">
            <v>04.011.00</v>
          </cell>
          <cell r="B57" t="str">
            <v>ESCAVAÇÃO MECÂNICA DE VALA EM MATERIAL DE 2ª CATEGORIA</v>
          </cell>
          <cell r="C57" t="str">
            <v>m³</v>
          </cell>
          <cell r="D57" t="str">
            <v>DNER-ES-280/97</v>
          </cell>
          <cell r="E57">
            <v>2.13</v>
          </cell>
          <cell r="F57">
            <v>0.7</v>
          </cell>
          <cell r="G57">
            <v>2.83</v>
          </cell>
          <cell r="H57" t="str">
            <v>Drenagem</v>
          </cell>
        </row>
        <row r="58">
          <cell r="A58" t="str">
            <v>04.011.01</v>
          </cell>
          <cell r="B58" t="str">
            <v>ESCAVAÇÃO MECÂNICA REAT. E COMP. VALA MATERIAL 2ª CATEGORIA</v>
          </cell>
          <cell r="C58" t="str">
            <v>m³</v>
          </cell>
          <cell r="D58" t="str">
            <v>DNER-ES-334/97</v>
          </cell>
          <cell r="E58">
            <v>3.68</v>
          </cell>
          <cell r="F58">
            <v>1.2</v>
          </cell>
          <cell r="G58">
            <v>4.88</v>
          </cell>
          <cell r="H58" t="str">
            <v>Drenagem</v>
          </cell>
        </row>
        <row r="59">
          <cell r="A59" t="str">
            <v>04.400.01</v>
          </cell>
          <cell r="B59" t="str">
            <v>VALETA DE PROTEÇÃO DE CORTES C/ REVEST. VEGETAL - VPC 01</v>
          </cell>
          <cell r="C59" t="str">
            <v>m</v>
          </cell>
          <cell r="D59" t="str">
            <v>DNER-ES-288/97</v>
          </cell>
          <cell r="E59">
            <v>27.73</v>
          </cell>
          <cell r="F59">
            <v>9.06</v>
          </cell>
          <cell r="G59">
            <v>36.79</v>
          </cell>
          <cell r="H59" t="str">
            <v>Drenagem</v>
          </cell>
        </row>
        <row r="60">
          <cell r="A60" t="str">
            <v>04.400.04</v>
          </cell>
          <cell r="B60" t="str">
            <v>VALETA DE PROTEÇÃO DE CORTES C/ REVEST. CONCRETO - VPC 04</v>
          </cell>
          <cell r="C60" t="str">
            <v>m</v>
          </cell>
          <cell r="D60" t="str">
            <v>DNER-ES-288/97</v>
          </cell>
          <cell r="E60">
            <v>34.000000000000007</v>
          </cell>
          <cell r="F60">
            <v>11.11</v>
          </cell>
          <cell r="G60">
            <v>45.110000000000007</v>
          </cell>
          <cell r="H60" t="str">
            <v>Drenagem</v>
          </cell>
        </row>
        <row r="61">
          <cell r="A61" t="str">
            <v>04.401.01</v>
          </cell>
          <cell r="B61" t="str">
            <v>VALETA DE PROTEÇÃO DE ATERROS C/ REVEST. VEGETAL - VPA 01</v>
          </cell>
          <cell r="C61" t="str">
            <v>m</v>
          </cell>
          <cell r="D61" t="str">
            <v>DNER-ES-288/97</v>
          </cell>
          <cell r="E61">
            <v>28.54</v>
          </cell>
          <cell r="F61">
            <v>9.33</v>
          </cell>
          <cell r="G61">
            <v>37.869999999999997</v>
          </cell>
          <cell r="H61" t="str">
            <v>Drenagem</v>
          </cell>
        </row>
        <row r="62">
          <cell r="A62" t="str">
            <v>04.401.04</v>
          </cell>
          <cell r="B62" t="str">
            <v>VALETA DE PROTEÇÃO DE ATERROS C/ REVEST. CONCRETO - VPA 04</v>
          </cell>
          <cell r="C62" t="str">
            <v>m</v>
          </cell>
          <cell r="D62" t="str">
            <v>DNER-ES-288/97</v>
          </cell>
          <cell r="E62">
            <v>33.07</v>
          </cell>
          <cell r="F62">
            <v>10.81</v>
          </cell>
          <cell r="G62">
            <v>43.88</v>
          </cell>
          <cell r="H62" t="str">
            <v>Drenagem</v>
          </cell>
        </row>
        <row r="63">
          <cell r="A63" t="str">
            <v>04.500.02</v>
          </cell>
          <cell r="B63" t="str">
            <v>DRENO LONGITUDINAL PROF. P/CORTE EM SOLO - DPS 02</v>
          </cell>
          <cell r="C63" t="str">
            <v>m</v>
          </cell>
          <cell r="D63" t="str">
            <v>DNER-ES 292/97</v>
          </cell>
          <cell r="E63">
            <v>37.950000000000003</v>
          </cell>
          <cell r="F63">
            <v>12.4</v>
          </cell>
          <cell r="G63">
            <v>50.35</v>
          </cell>
          <cell r="H63" t="str">
            <v>Drenagem</v>
          </cell>
        </row>
        <row r="64">
          <cell r="A64" t="str">
            <v>04.500.07</v>
          </cell>
          <cell r="B64" t="str">
            <v>DRENO LONGITUDINAL PROF. P/CORTE EM SOLO - DPS 07</v>
          </cell>
          <cell r="C64" t="str">
            <v>m</v>
          </cell>
          <cell r="D64" t="str">
            <v>DNER-ES 292/97</v>
          </cell>
          <cell r="E64">
            <v>55.84</v>
          </cell>
          <cell r="F64">
            <v>18.25</v>
          </cell>
          <cell r="G64">
            <v>74.09</v>
          </cell>
          <cell r="H64" t="str">
            <v>Drenagem</v>
          </cell>
        </row>
        <row r="65">
          <cell r="A65" t="str">
            <v>04.502.02</v>
          </cell>
          <cell r="B65" t="str">
            <v>BOCA DE SAÍDA P/DRENO LONGITUDINAL PROF. BSD 02</v>
          </cell>
          <cell r="C65" t="str">
            <v>m</v>
          </cell>
          <cell r="D65" t="str">
            <v>DNER-ES 292/97</v>
          </cell>
          <cell r="E65">
            <v>63.86</v>
          </cell>
          <cell r="F65">
            <v>20.87</v>
          </cell>
          <cell r="G65">
            <v>84.73</v>
          </cell>
          <cell r="H65" t="str">
            <v>Drenagem</v>
          </cell>
        </row>
        <row r="66">
          <cell r="A66" t="str">
            <v>04.900.01</v>
          </cell>
          <cell r="B66" t="str">
            <v>SARJETA TRIANGULAR DE CONCRETO  – STC 01</v>
          </cell>
          <cell r="C66" t="str">
            <v>m</v>
          </cell>
          <cell r="D66" t="str">
            <v>DNER-ES 288/97</v>
          </cell>
          <cell r="E66">
            <v>28.789999999999996</v>
          </cell>
          <cell r="F66">
            <v>9.41</v>
          </cell>
          <cell r="G66">
            <v>38.199999999999996</v>
          </cell>
          <cell r="H66" t="str">
            <v>Drenagem</v>
          </cell>
        </row>
        <row r="67">
          <cell r="A67" t="str">
            <v>04.900.02</v>
          </cell>
          <cell r="B67" t="str">
            <v>SARJETA TRIANGULAR DE CONCRETO  – STC 02</v>
          </cell>
          <cell r="C67" t="str">
            <v>m</v>
          </cell>
          <cell r="D67" t="str">
            <v>DNER-ES 288/97</v>
          </cell>
          <cell r="E67">
            <v>19.32</v>
          </cell>
          <cell r="F67">
            <v>6.31</v>
          </cell>
          <cell r="G67">
            <v>25.63</v>
          </cell>
          <cell r="H67" t="str">
            <v>Drenagem</v>
          </cell>
        </row>
        <row r="68">
          <cell r="A68" t="str">
            <v>04.900.04</v>
          </cell>
          <cell r="B68" t="str">
            <v>SARJETA TRIANGULAR DE CONCRETO  – STC 04</v>
          </cell>
          <cell r="C68" t="str">
            <v>m</v>
          </cell>
          <cell r="D68" t="str">
            <v>DNER-ES 288/97</v>
          </cell>
          <cell r="E68">
            <v>13.63</v>
          </cell>
          <cell r="F68">
            <v>4.45</v>
          </cell>
          <cell r="G68">
            <v>18.080000000000002</v>
          </cell>
          <cell r="H68" t="str">
            <v>Drenagem</v>
          </cell>
        </row>
        <row r="69">
          <cell r="A69" t="str">
            <v>04.901.22</v>
          </cell>
          <cell r="B69" t="str">
            <v>SARJETA DE CANTEIRO CENTRAL DE CONCRETO - SCC 04</v>
          </cell>
          <cell r="C69" t="str">
            <v>m</v>
          </cell>
          <cell r="D69" t="str">
            <v>DNER-ES 288/97</v>
          </cell>
          <cell r="E69">
            <v>34.19</v>
          </cell>
          <cell r="F69">
            <v>11.17</v>
          </cell>
          <cell r="G69">
            <v>45.36</v>
          </cell>
          <cell r="H69" t="str">
            <v>Drenagem</v>
          </cell>
        </row>
        <row r="70">
          <cell r="A70" t="str">
            <v>04.910.01</v>
          </cell>
          <cell r="B70" t="str">
            <v>MEIO-FIO DE CONCRETO - MFC 01</v>
          </cell>
          <cell r="C70" t="str">
            <v>m</v>
          </cell>
          <cell r="D70" t="str">
            <v>DNER-ES 290/97</v>
          </cell>
          <cell r="E70">
            <v>27.869999999999997</v>
          </cell>
          <cell r="F70">
            <v>9.11</v>
          </cell>
          <cell r="G70">
            <v>36.979999999999997</v>
          </cell>
          <cell r="H70" t="str">
            <v>Drenagem</v>
          </cell>
        </row>
        <row r="71">
          <cell r="A71" t="str">
            <v>04.910.03</v>
          </cell>
          <cell r="B71" t="str">
            <v>MEIO-FIO DE CONCRETO - MFC 03</v>
          </cell>
          <cell r="C71" t="str">
            <v>m</v>
          </cell>
          <cell r="D71" t="str">
            <v>DNER-ES 290/97</v>
          </cell>
          <cell r="E71">
            <v>12.79</v>
          </cell>
          <cell r="F71">
            <v>4.18</v>
          </cell>
          <cell r="G71">
            <v>16.97</v>
          </cell>
          <cell r="H71" t="str">
            <v>Drenagem</v>
          </cell>
        </row>
        <row r="72">
          <cell r="A72" t="str">
            <v>04.910.05</v>
          </cell>
          <cell r="B72" t="str">
            <v>MEIO-FIO DE CONCRETO - MFC 05</v>
          </cell>
          <cell r="C72" t="str">
            <v>m</v>
          </cell>
          <cell r="D72" t="str">
            <v>DNER-ES 290/97</v>
          </cell>
          <cell r="E72">
            <v>12.839999999999998</v>
          </cell>
          <cell r="F72">
            <v>4.2</v>
          </cell>
          <cell r="G72">
            <v>17.04</v>
          </cell>
          <cell r="H72" t="str">
            <v>Drenagem</v>
          </cell>
        </row>
        <row r="73">
          <cell r="A73" t="str">
            <v>04.930.01</v>
          </cell>
          <cell r="B73" t="str">
            <v>CAIXA COLETORA DE SARJETA - CCS 01</v>
          </cell>
          <cell r="C73" t="str">
            <v>unid.</v>
          </cell>
          <cell r="D73" t="str">
            <v>DNER-ES-287/97</v>
          </cell>
          <cell r="E73">
            <v>694.62</v>
          </cell>
          <cell r="F73">
            <v>227</v>
          </cell>
          <cell r="G73">
            <v>921.62</v>
          </cell>
          <cell r="H73" t="str">
            <v>Drenagem</v>
          </cell>
        </row>
        <row r="74">
          <cell r="A74" t="str">
            <v>04.930.04</v>
          </cell>
          <cell r="B74" t="str">
            <v>CAIXA COLETORA DE SARJETA - CCS 04</v>
          </cell>
          <cell r="C74" t="str">
            <v>unid.</v>
          </cell>
          <cell r="D74" t="str">
            <v>DNER-ES-287/97</v>
          </cell>
          <cell r="E74">
            <v>636.63</v>
          </cell>
          <cell r="F74">
            <v>208.05</v>
          </cell>
          <cell r="G74">
            <v>844.68000000000006</v>
          </cell>
          <cell r="H74" t="str">
            <v>Drenagem</v>
          </cell>
        </row>
        <row r="75">
          <cell r="A75" t="str">
            <v>04.931.04</v>
          </cell>
          <cell r="B75" t="str">
            <v>CAIXA COLETORA DE TALVEGUE - CCT 04</v>
          </cell>
          <cell r="C75" t="str">
            <v>unid.</v>
          </cell>
          <cell r="D75" t="str">
            <v>DNER-ES-287/97</v>
          </cell>
          <cell r="E75">
            <v>648.08000000000004</v>
          </cell>
          <cell r="F75">
            <v>211.79</v>
          </cell>
          <cell r="G75">
            <v>859.87</v>
          </cell>
          <cell r="H75" t="str">
            <v>Drenagem</v>
          </cell>
        </row>
        <row r="76">
          <cell r="A76" t="str">
            <v>04.940.02</v>
          </cell>
          <cell r="B76" t="str">
            <v>DESCIDA D'ÁGUA TIPO RÁPIDA CANAL RETANGULAR - DAR 02</v>
          </cell>
          <cell r="C76" t="str">
            <v>m</v>
          </cell>
          <cell r="D76" t="str">
            <v>DNER-ES-291/97</v>
          </cell>
          <cell r="E76">
            <v>38.049999999999997</v>
          </cell>
          <cell r="F76">
            <v>12.43</v>
          </cell>
          <cell r="G76">
            <v>50.48</v>
          </cell>
          <cell r="H76" t="str">
            <v>Drenagem</v>
          </cell>
        </row>
        <row r="77">
          <cell r="A77" t="str">
            <v>04.940.03</v>
          </cell>
          <cell r="B77" t="str">
            <v>DESCIDA D'ÁGUA TIPO RÁPIDA CANAL RETANGULAR - DAR 03</v>
          </cell>
          <cell r="C77" t="str">
            <v>m</v>
          </cell>
          <cell r="D77" t="str">
            <v>DNER-ES-291/97</v>
          </cell>
          <cell r="E77">
            <v>52.16</v>
          </cell>
          <cell r="F77">
            <v>17.05</v>
          </cell>
          <cell r="G77">
            <v>69.209999999999994</v>
          </cell>
          <cell r="H77" t="str">
            <v>Drenagem</v>
          </cell>
        </row>
        <row r="78">
          <cell r="A78" t="str">
            <v>04.941.01</v>
          </cell>
          <cell r="B78" t="str">
            <v>DESCIDA D'ÁGUA ATERROS EM DEGRAUS - DAD 01</v>
          </cell>
          <cell r="C78" t="str">
            <v>m</v>
          </cell>
          <cell r="D78" t="str">
            <v>DNER-ES-291/97</v>
          </cell>
          <cell r="E78">
            <v>50.730000000000004</v>
          </cell>
          <cell r="F78">
            <v>16.579999999999998</v>
          </cell>
          <cell r="G78">
            <v>67.31</v>
          </cell>
          <cell r="H78" t="str">
            <v>Drenagem</v>
          </cell>
        </row>
        <row r="79">
          <cell r="A79" t="str">
            <v>04.941.06</v>
          </cell>
          <cell r="B79" t="str">
            <v>DESCIDA D'ÁGUA ATERROS EM DEGRAUS ARMADOS - DAD 06</v>
          </cell>
          <cell r="C79" t="str">
            <v>m</v>
          </cell>
          <cell r="D79" t="str">
            <v>DNER-ES-291/97</v>
          </cell>
          <cell r="E79">
            <v>213.45000000000002</v>
          </cell>
          <cell r="F79">
            <v>69.760000000000005</v>
          </cell>
          <cell r="G79">
            <v>283.21000000000004</v>
          </cell>
          <cell r="H79" t="str">
            <v>Drenagem</v>
          </cell>
        </row>
        <row r="80">
          <cell r="A80" t="str">
            <v>04.941.08</v>
          </cell>
          <cell r="B80" t="str">
            <v>DESCIDA D'ÁGUA ATERROS EM DEGRAUS ARMADOS - DAD 08</v>
          </cell>
          <cell r="C80" t="str">
            <v>m</v>
          </cell>
          <cell r="D80" t="str">
            <v>DNER-ES-291/97</v>
          </cell>
          <cell r="E80">
            <v>248.56</v>
          </cell>
          <cell r="F80">
            <v>81.23</v>
          </cell>
          <cell r="G80">
            <v>329.79</v>
          </cell>
          <cell r="H80" t="str">
            <v>Drenagem</v>
          </cell>
        </row>
        <row r="81">
          <cell r="A81" t="str">
            <v>04.941.31</v>
          </cell>
          <cell r="B81" t="str">
            <v>DESCIDA D'ÁGUA CORTES EM DEGRAUS - DCD 01</v>
          </cell>
          <cell r="C81" t="str">
            <v>m</v>
          </cell>
          <cell r="D81" t="str">
            <v>DNER-ES-291/97</v>
          </cell>
          <cell r="E81">
            <v>51.340000000000011</v>
          </cell>
          <cell r="F81">
            <v>16.78</v>
          </cell>
          <cell r="G81">
            <v>68.12</v>
          </cell>
          <cell r="H81" t="str">
            <v>Drenagem</v>
          </cell>
        </row>
        <row r="82">
          <cell r="A82" t="str">
            <v>04.941.32</v>
          </cell>
          <cell r="B82" t="str">
            <v>DESCIDA D'ÁGUA CORTES EM DEGRAUS ARM. - DCD 02</v>
          </cell>
          <cell r="C82" t="str">
            <v>m</v>
          </cell>
          <cell r="D82" t="str">
            <v>DNER-ES-291/97</v>
          </cell>
          <cell r="E82">
            <v>69.02000000000001</v>
          </cell>
          <cell r="F82">
            <v>22.56</v>
          </cell>
          <cell r="G82">
            <v>91.580000000000013</v>
          </cell>
          <cell r="H82" t="str">
            <v>Drenagem</v>
          </cell>
        </row>
        <row r="83">
          <cell r="A83" t="str">
            <v>04.942.01</v>
          </cell>
          <cell r="B83" t="str">
            <v>ENTRADA D'ÁGUA - EDA 01</v>
          </cell>
          <cell r="C83" t="str">
            <v>unid.</v>
          </cell>
          <cell r="D83" t="str">
            <v>DNER-ES-291/97</v>
          </cell>
          <cell r="E83">
            <v>22.689999999999998</v>
          </cell>
          <cell r="F83">
            <v>7.42</v>
          </cell>
          <cell r="G83">
            <v>30.11</v>
          </cell>
          <cell r="H83" t="str">
            <v>Drenagem</v>
          </cell>
        </row>
        <row r="84">
          <cell r="A84" t="str">
            <v>04.942.02</v>
          </cell>
          <cell r="B84" t="str">
            <v>ENTRADA D'ÁGUA - EDA 02</v>
          </cell>
          <cell r="C84" t="str">
            <v>unid.</v>
          </cell>
          <cell r="D84" t="str">
            <v>DNER-ES-291/97</v>
          </cell>
          <cell r="E84">
            <v>27.919999999999998</v>
          </cell>
          <cell r="F84">
            <v>9.1199999999999992</v>
          </cell>
          <cell r="G84">
            <v>37.04</v>
          </cell>
          <cell r="H84" t="str">
            <v>Drenagem</v>
          </cell>
        </row>
        <row r="85">
          <cell r="A85" t="str">
            <v>04.950.01</v>
          </cell>
          <cell r="B85" t="str">
            <v>DISSIPADOR DE ENERGIA - DES 01</v>
          </cell>
          <cell r="C85" t="str">
            <v>unid.</v>
          </cell>
          <cell r="D85" t="str">
            <v>DNER-ES-283/97</v>
          </cell>
          <cell r="E85">
            <v>109.97999999999999</v>
          </cell>
          <cell r="F85">
            <v>35.94</v>
          </cell>
          <cell r="G85">
            <v>145.91999999999999</v>
          </cell>
          <cell r="H85" t="str">
            <v>Drenagem</v>
          </cell>
        </row>
        <row r="86">
          <cell r="A86" t="str">
            <v>04.950.21</v>
          </cell>
          <cell r="B86" t="str">
            <v>DISSIPADOR DE ENERGIA - DEB 01</v>
          </cell>
          <cell r="C86" t="str">
            <v>unid.</v>
          </cell>
          <cell r="D86" t="str">
            <v>DNER-ES-283/97</v>
          </cell>
          <cell r="E86">
            <v>121.85</v>
          </cell>
          <cell r="F86">
            <v>39.82</v>
          </cell>
          <cell r="G86">
            <v>161.66999999999999</v>
          </cell>
          <cell r="H86" t="str">
            <v>Drenagem</v>
          </cell>
        </row>
        <row r="87">
          <cell r="A87" t="str">
            <v>04.950.24</v>
          </cell>
          <cell r="B87" t="str">
            <v>DISSIPADOR DE ENERGIA - DEB 04</v>
          </cell>
          <cell r="C87" t="str">
            <v>unid.</v>
          </cell>
          <cell r="D87" t="str">
            <v>DNER-ES-283/97</v>
          </cell>
          <cell r="E87">
            <v>971.39</v>
          </cell>
          <cell r="F87">
            <v>317.45</v>
          </cell>
          <cell r="G87">
            <v>1288.8399999999999</v>
          </cell>
          <cell r="H87" t="str">
            <v>Drenagem</v>
          </cell>
        </row>
        <row r="88">
          <cell r="A88" t="str">
            <v>04.950.51</v>
          </cell>
          <cell r="B88" t="str">
            <v>DISSIPADOR DE ENERGIA - DED 01</v>
          </cell>
          <cell r="C88" t="str">
            <v>unid.</v>
          </cell>
          <cell r="D88" t="str">
            <v>DNER-ES-283/97</v>
          </cell>
          <cell r="E88">
            <v>127.19</v>
          </cell>
          <cell r="F88">
            <v>41.57</v>
          </cell>
          <cell r="G88">
            <v>168.76</v>
          </cell>
          <cell r="H88" t="str">
            <v>Drenagem</v>
          </cell>
        </row>
        <row r="89">
          <cell r="A89" t="str">
            <v>04.962.02</v>
          </cell>
          <cell r="B89" t="str">
            <v>CAIXA DE LIGAÇÃO E PASSAGEM - CLP 02</v>
          </cell>
          <cell r="C89" t="str">
            <v>unid.</v>
          </cell>
          <cell r="D89" t="str">
            <v>DNER-ES-287/97</v>
          </cell>
          <cell r="E89">
            <v>445.51</v>
          </cell>
          <cell r="F89">
            <v>145.59</v>
          </cell>
          <cell r="G89">
            <v>591.1</v>
          </cell>
          <cell r="H89" t="str">
            <v>Drenagem</v>
          </cell>
        </row>
        <row r="90">
          <cell r="A90" t="str">
            <v>04.990.01</v>
          </cell>
          <cell r="B90" t="str">
            <v>TRANSPOSIÇÃO DE SEGMENTO DE SARJETA - TSS 01</v>
          </cell>
          <cell r="C90" t="str">
            <v>m</v>
          </cell>
          <cell r="D90" t="str">
            <v>DNER-ES-287/97</v>
          </cell>
          <cell r="E90">
            <v>79.88</v>
          </cell>
          <cell r="F90">
            <v>26.1</v>
          </cell>
          <cell r="G90">
            <v>105.97999999999999</v>
          </cell>
          <cell r="H90" t="str">
            <v>Drenagem</v>
          </cell>
        </row>
        <row r="91">
          <cell r="A91" t="str">
            <v>04.990.03</v>
          </cell>
          <cell r="B91" t="str">
            <v>TRANSPOSIÇÃO DE SEGMENTO DE SARJETA - TSS 03</v>
          </cell>
          <cell r="C91" t="str">
            <v>m</v>
          </cell>
          <cell r="D91" t="str">
            <v>DNER-ES-287/97</v>
          </cell>
          <cell r="E91">
            <v>127.31</v>
          </cell>
          <cell r="F91">
            <v>41.6</v>
          </cell>
          <cell r="G91">
            <v>168.91</v>
          </cell>
          <cell r="H91" t="str">
            <v>Drenagem</v>
          </cell>
        </row>
        <row r="92">
          <cell r="A92" t="str">
            <v>OBRAS DE ARTE CORRENTES</v>
          </cell>
        </row>
        <row r="93">
          <cell r="A93" t="str">
            <v>04.100.02</v>
          </cell>
          <cell r="B93" t="str">
            <v>CORPO BSTC D=0,80M</v>
          </cell>
          <cell r="C93" t="str">
            <v>m</v>
          </cell>
          <cell r="D93" t="str">
            <v>DNER-ES-284/97</v>
          </cell>
          <cell r="E93">
            <v>231.74</v>
          </cell>
          <cell r="F93">
            <v>75.73</v>
          </cell>
          <cell r="G93">
            <v>307.47000000000003</v>
          </cell>
          <cell r="H93" t="str">
            <v>Arte Correntes</v>
          </cell>
        </row>
        <row r="94">
          <cell r="A94" t="str">
            <v>04.100.03</v>
          </cell>
          <cell r="B94" t="str">
            <v>CORPO BSTC D=1,00M</v>
          </cell>
          <cell r="C94" t="str">
            <v>m</v>
          </cell>
          <cell r="D94" t="str">
            <v>DNER-ES-284/97</v>
          </cell>
          <cell r="E94">
            <v>330.61</v>
          </cell>
          <cell r="F94">
            <v>108.04</v>
          </cell>
          <cell r="G94">
            <v>438.65000000000003</v>
          </cell>
          <cell r="H94" t="str">
            <v>Arte Correntes</v>
          </cell>
        </row>
        <row r="95">
          <cell r="A95" t="str">
            <v>04.100.04</v>
          </cell>
          <cell r="B95" t="str">
            <v>CORPO BSTC D=1,20M</v>
          </cell>
          <cell r="C95" t="str">
            <v>m</v>
          </cell>
          <cell r="D95" t="str">
            <v>DNER-ES-284/97</v>
          </cell>
          <cell r="E95">
            <v>406.59000000000003</v>
          </cell>
          <cell r="F95">
            <v>132.87</v>
          </cell>
          <cell r="G95">
            <v>539.46</v>
          </cell>
          <cell r="H95" t="str">
            <v>Arte Correntes</v>
          </cell>
        </row>
        <row r="96">
          <cell r="A96" t="str">
            <v>04.101.02</v>
          </cell>
          <cell r="B96" t="str">
            <v>BOCA BSTC D=0,80M NORMAL</v>
          </cell>
          <cell r="C96" t="str">
            <v>unid.</v>
          </cell>
          <cell r="D96" t="str">
            <v>DNER-ES-284/97</v>
          </cell>
          <cell r="E96">
            <v>615.80000000000007</v>
          </cell>
          <cell r="F96">
            <v>201.24</v>
          </cell>
          <cell r="G96">
            <v>817.04000000000008</v>
          </cell>
          <cell r="H96" t="str">
            <v>Arte Correntes</v>
          </cell>
        </row>
        <row r="97">
          <cell r="A97" t="str">
            <v>04.101.03</v>
          </cell>
          <cell r="B97" t="str">
            <v>BOCA BSTC D=1,00M NORMAL</v>
          </cell>
          <cell r="C97" t="str">
            <v>unid.</v>
          </cell>
          <cell r="D97" t="str">
            <v>DNER-ES-284/97</v>
          </cell>
          <cell r="E97">
            <v>960.25999999999988</v>
          </cell>
          <cell r="F97">
            <v>313.81</v>
          </cell>
          <cell r="G97">
            <v>1274.07</v>
          </cell>
          <cell r="H97" t="str">
            <v>Arte Correntes</v>
          </cell>
        </row>
        <row r="98">
          <cell r="A98" t="str">
            <v>04.101.04</v>
          </cell>
          <cell r="B98" t="str">
            <v>BOCA BSTC D=1,20M NORMAL</v>
          </cell>
          <cell r="C98" t="str">
            <v>unid.</v>
          </cell>
          <cell r="D98" t="str">
            <v>DNER-ES-284/97</v>
          </cell>
          <cell r="E98">
            <v>1399.3500000000001</v>
          </cell>
          <cell r="F98">
            <v>457.31</v>
          </cell>
          <cell r="G98">
            <v>1856.66</v>
          </cell>
          <cell r="H98" t="str">
            <v>Arte Correntes</v>
          </cell>
        </row>
        <row r="99">
          <cell r="A99" t="str">
            <v>04.110.01</v>
          </cell>
          <cell r="B99" t="str">
            <v>CORPO BDTC D=1,00M</v>
          </cell>
          <cell r="C99" t="str">
            <v>m</v>
          </cell>
          <cell r="D99" t="str">
            <v>DNER-ES-284/97</v>
          </cell>
          <cell r="E99">
            <v>682.32000000000016</v>
          </cell>
          <cell r="F99">
            <v>222.98</v>
          </cell>
          <cell r="G99">
            <v>905.30000000000018</v>
          </cell>
          <cell r="H99" t="str">
            <v>Arte Correntes</v>
          </cell>
        </row>
        <row r="100">
          <cell r="A100" t="str">
            <v>04.110.02</v>
          </cell>
          <cell r="B100" t="str">
            <v>CORPO BDTC D=1,20M</v>
          </cell>
          <cell r="C100" t="str">
            <v>m</v>
          </cell>
          <cell r="D100" t="str">
            <v>DNER-ES-284/97</v>
          </cell>
          <cell r="E100">
            <v>859.51</v>
          </cell>
          <cell r="F100">
            <v>280.89</v>
          </cell>
          <cell r="G100">
            <v>1140.4000000000001</v>
          </cell>
          <cell r="H100" t="str">
            <v>Arte Correntes</v>
          </cell>
        </row>
        <row r="101">
          <cell r="A101" t="str">
            <v>04.111.01</v>
          </cell>
          <cell r="B101" t="str">
            <v>BOCA BDTC D=1,00M NORMAL</v>
          </cell>
          <cell r="C101" t="str">
            <v>unid.</v>
          </cell>
          <cell r="D101" t="str">
            <v>DNER-ES-284/97</v>
          </cell>
          <cell r="E101">
            <v>1347.9199999999998</v>
          </cell>
          <cell r="F101">
            <v>440.5</v>
          </cell>
          <cell r="G101">
            <v>1788.4199999999998</v>
          </cell>
          <cell r="H101" t="str">
            <v>Arte Correntes</v>
          </cell>
        </row>
        <row r="102">
          <cell r="A102" t="str">
            <v>04.111.02</v>
          </cell>
          <cell r="B102" t="str">
            <v>BOCA BDTC D=1,20M NORMAL</v>
          </cell>
          <cell r="C102" t="str">
            <v>unid.</v>
          </cell>
          <cell r="D102" t="str">
            <v>DNER-ES-284/97</v>
          </cell>
          <cell r="E102">
            <v>1970.3899999999999</v>
          </cell>
          <cell r="F102">
            <v>643.91999999999996</v>
          </cell>
          <cell r="G102">
            <v>2614.31</v>
          </cell>
          <cell r="H102" t="str">
            <v>Arte Correntes</v>
          </cell>
        </row>
        <row r="103">
          <cell r="A103" t="str">
            <v>04.120.01</v>
          </cell>
          <cell r="B103" t="str">
            <v>CORPO BTTC D=1,00M</v>
          </cell>
          <cell r="C103" t="str">
            <v>m</v>
          </cell>
          <cell r="D103" t="str">
            <v>DNER-ES-284/97</v>
          </cell>
          <cell r="E103">
            <v>949.65</v>
          </cell>
          <cell r="F103">
            <v>310.35000000000002</v>
          </cell>
          <cell r="G103">
            <v>1260</v>
          </cell>
          <cell r="H103" t="str">
            <v>Arte Correntes</v>
          </cell>
        </row>
        <row r="104">
          <cell r="A104" t="str">
            <v>04.121.01</v>
          </cell>
          <cell r="B104" t="str">
            <v>BOCA BTTC D=1,00M NORMAL</v>
          </cell>
          <cell r="C104" t="str">
            <v>unid.</v>
          </cell>
          <cell r="D104" t="str">
            <v>DNER-ES-284/97</v>
          </cell>
          <cell r="E104">
            <v>1740.02</v>
          </cell>
          <cell r="F104">
            <v>568.64</v>
          </cell>
          <cell r="G104">
            <v>2308.66</v>
          </cell>
          <cell r="H104" t="str">
            <v>Arte Correntes</v>
          </cell>
        </row>
        <row r="105">
          <cell r="A105" t="str">
            <v>04.200.03</v>
          </cell>
          <cell r="B105" t="str">
            <v>CORPO DE BSCC 2,50X2,50 ALT. 0,00A1,00M</v>
          </cell>
          <cell r="C105" t="str">
            <v>m</v>
          </cell>
          <cell r="D105" t="str">
            <v>DNER-ES-286/97</v>
          </cell>
          <cell r="E105">
            <v>1309.19</v>
          </cell>
          <cell r="F105">
            <v>427.84</v>
          </cell>
          <cell r="G105">
            <v>1737.03</v>
          </cell>
          <cell r="H105" t="str">
            <v>Arte Correntes</v>
          </cell>
        </row>
        <row r="106">
          <cell r="A106" t="str">
            <v>04.200.04</v>
          </cell>
          <cell r="B106" t="str">
            <v>CORPO DE BSCC 3,00X3,00 ALT. 0,00A1,00M</v>
          </cell>
          <cell r="C106" t="str">
            <v>m</v>
          </cell>
          <cell r="D106" t="str">
            <v>DNER-ES-286/97</v>
          </cell>
          <cell r="E106">
            <v>1741.9699999999998</v>
          </cell>
          <cell r="F106">
            <v>569.28</v>
          </cell>
          <cell r="G106">
            <v>2311.25</v>
          </cell>
          <cell r="H106" t="str">
            <v>Arte Correntes</v>
          </cell>
        </row>
        <row r="107">
          <cell r="A107" t="str">
            <v>04.200.06</v>
          </cell>
          <cell r="B107" t="str">
            <v>CORPO DE BSCC 2,00X2,00 ALT. 1,00A2,50M</v>
          </cell>
          <cell r="C107" t="str">
            <v>m</v>
          </cell>
          <cell r="D107" t="str">
            <v>DNER-ES-286/97</v>
          </cell>
          <cell r="E107">
            <v>823.61</v>
          </cell>
          <cell r="F107">
            <v>269.16000000000003</v>
          </cell>
          <cell r="G107">
            <v>1092.77</v>
          </cell>
          <cell r="H107" t="str">
            <v>Arte Correntes</v>
          </cell>
        </row>
        <row r="108">
          <cell r="A108" t="str">
            <v>04.200.09</v>
          </cell>
          <cell r="B108" t="str">
            <v>CORPO DE BSCC 1,50X1,50 ALT. 2,50A5,00M</v>
          </cell>
          <cell r="C108" t="str">
            <v>m</v>
          </cell>
          <cell r="D108" t="str">
            <v>DNER-ES-286/97</v>
          </cell>
          <cell r="E108">
            <v>630.48</v>
          </cell>
          <cell r="F108">
            <v>206.04</v>
          </cell>
          <cell r="G108">
            <v>836.52</v>
          </cell>
          <cell r="H108" t="str">
            <v>Arte Correntes</v>
          </cell>
        </row>
        <row r="109">
          <cell r="A109" t="str">
            <v>04.200.14</v>
          </cell>
          <cell r="B109" t="str">
            <v>CORPO DE BSCC 2,00X2,00M ALT. 5,00A7,50M</v>
          </cell>
          <cell r="C109" t="str">
            <v>m</v>
          </cell>
          <cell r="D109" t="str">
            <v>DNER-ES-286/97</v>
          </cell>
          <cell r="E109">
            <v>1093.22</v>
          </cell>
          <cell r="F109">
            <v>357.26</v>
          </cell>
          <cell r="G109">
            <v>1450.48</v>
          </cell>
          <cell r="H109" t="str">
            <v>Arte Correntes</v>
          </cell>
        </row>
        <row r="110">
          <cell r="A110" t="str">
            <v>04.200.15</v>
          </cell>
          <cell r="B110" t="str">
            <v>CORPO DE BSCC 2,50X2,50M ALT. 5,00A7,50M</v>
          </cell>
          <cell r="C110" t="str">
            <v>m</v>
          </cell>
          <cell r="D110" t="str">
            <v>DNER-ES-286/97</v>
          </cell>
          <cell r="E110">
            <v>1599.75</v>
          </cell>
          <cell r="F110">
            <v>522.79999999999995</v>
          </cell>
          <cell r="G110">
            <v>2122.5500000000002</v>
          </cell>
          <cell r="H110" t="str">
            <v>Arte Correntes</v>
          </cell>
        </row>
        <row r="111">
          <cell r="A111" t="str">
            <v>04.200.16</v>
          </cell>
          <cell r="B111" t="str">
            <v>CORPO DE BSCC 3,00X3,00M ALT. 5,00A7,50M</v>
          </cell>
          <cell r="C111" t="str">
            <v>m</v>
          </cell>
          <cell r="D111" t="str">
            <v>DNER-ES-286/97</v>
          </cell>
          <cell r="E111">
            <v>2267.15</v>
          </cell>
          <cell r="F111">
            <v>740.9</v>
          </cell>
          <cell r="G111">
            <v>3008.05</v>
          </cell>
          <cell r="H111" t="str">
            <v>Arte Correntes</v>
          </cell>
        </row>
        <row r="112">
          <cell r="A112" t="str">
            <v>04.200.19</v>
          </cell>
          <cell r="B112" t="str">
            <v>CORPO DE BSCC 2,50X2,50M ALT. 7,50A10,00M</v>
          </cell>
          <cell r="C112" t="str">
            <v>m</v>
          </cell>
          <cell r="D112" t="str">
            <v>DNER-ES-286/97</v>
          </cell>
          <cell r="E112">
            <v>1748.98</v>
          </cell>
          <cell r="F112">
            <v>571.57000000000005</v>
          </cell>
          <cell r="G112">
            <v>2320.5500000000002</v>
          </cell>
          <cell r="H112" t="str">
            <v>Arte Correntes</v>
          </cell>
        </row>
        <row r="113">
          <cell r="A113" t="str">
            <v>04.200.20</v>
          </cell>
          <cell r="B113" t="str">
            <v>CORPO DE BSCC 3,00X3,00M ALT. 7,50A10,00M</v>
          </cell>
          <cell r="C113" t="str">
            <v>m</v>
          </cell>
          <cell r="D113" t="str">
            <v>DNER-ES-286/97</v>
          </cell>
          <cell r="E113">
            <v>2504.4600000000005</v>
          </cell>
          <cell r="F113">
            <v>818.46</v>
          </cell>
          <cell r="G113">
            <v>3322.9200000000005</v>
          </cell>
          <cell r="H113" t="str">
            <v>Arte Correntes</v>
          </cell>
        </row>
        <row r="114">
          <cell r="A114" t="str">
            <v>04.200.22</v>
          </cell>
          <cell r="B114" t="str">
            <v>CORPO DE BSCC 2,00X2,00M ALT. 10,00A12,50M</v>
          </cell>
          <cell r="C114" t="str">
            <v>m</v>
          </cell>
          <cell r="D114" t="str">
            <v>DNER-ES-286/97</v>
          </cell>
          <cell r="E114">
            <v>1342.35</v>
          </cell>
          <cell r="F114">
            <v>438.68</v>
          </cell>
          <cell r="G114">
            <v>1781.03</v>
          </cell>
          <cell r="H114" t="str">
            <v>Arte Correntes</v>
          </cell>
        </row>
        <row r="115">
          <cell r="A115" t="str">
            <v>04.200.23</v>
          </cell>
          <cell r="B115" t="str">
            <v>CORPO DE BSCC 2,50X2,50M ALT. 10,00A12,50M</v>
          </cell>
          <cell r="C115" t="str">
            <v>m</v>
          </cell>
          <cell r="D115" t="str">
            <v>DNER-ES-286/97</v>
          </cell>
          <cell r="E115">
            <v>1940.19</v>
          </cell>
          <cell r="F115">
            <v>634.04999999999995</v>
          </cell>
          <cell r="G115">
            <v>2574.2399999999998</v>
          </cell>
          <cell r="H115" t="str">
            <v>Arte Correntes</v>
          </cell>
        </row>
        <row r="116">
          <cell r="A116" t="str">
            <v>04.200.28</v>
          </cell>
          <cell r="B116" t="str">
            <v>CORPO DE BSCC 3,00X3,00M ALT. 12,50A15,00M</v>
          </cell>
          <cell r="C116" t="str">
            <v>m</v>
          </cell>
          <cell r="D116" t="str">
            <v>DNER-ES-286/97</v>
          </cell>
          <cell r="E116">
            <v>2938.85</v>
          </cell>
          <cell r="F116">
            <v>960.42</v>
          </cell>
          <cell r="G116">
            <v>3899.27</v>
          </cell>
          <cell r="H116" t="str">
            <v>Arte Correntes</v>
          </cell>
        </row>
        <row r="117">
          <cell r="A117" t="str">
            <v>04.201.01</v>
          </cell>
          <cell r="B117" t="str">
            <v>BOCA DE BSCC 1,50X1,50M NORMAL</v>
          </cell>
          <cell r="C117" t="str">
            <v>unid.</v>
          </cell>
          <cell r="D117" t="str">
            <v>DNER-ES-286/97</v>
          </cell>
          <cell r="E117">
            <v>3797.59</v>
          </cell>
          <cell r="F117">
            <v>1241.05</v>
          </cell>
          <cell r="G117">
            <v>5038.6400000000003</v>
          </cell>
          <cell r="H117" t="str">
            <v>Arte Correntes</v>
          </cell>
        </row>
        <row r="118">
          <cell r="A118" t="str">
            <v>04.201.02</v>
          </cell>
          <cell r="B118" t="str">
            <v>BOCA DE BSCC 2,00X2,00M NORMAL</v>
          </cell>
          <cell r="C118" t="str">
            <v>unid.</v>
          </cell>
          <cell r="D118" t="str">
            <v>DNER-ES-286/97</v>
          </cell>
          <cell r="E118">
            <v>5927.28</v>
          </cell>
          <cell r="F118">
            <v>1937.04</v>
          </cell>
          <cell r="G118">
            <v>7864.32</v>
          </cell>
          <cell r="H118" t="str">
            <v>Arte Correntes</v>
          </cell>
        </row>
        <row r="119">
          <cell r="A119" t="str">
            <v>04.201.03</v>
          </cell>
          <cell r="B119" t="str">
            <v>BOCA DE BSCC 2,50X2,50M NORMAL</v>
          </cell>
          <cell r="C119" t="str">
            <v>unid.</v>
          </cell>
          <cell r="D119" t="str">
            <v>DNER-ES-286/97</v>
          </cell>
          <cell r="E119">
            <v>8002.2900000000009</v>
          </cell>
          <cell r="F119">
            <v>2615.15</v>
          </cell>
          <cell r="G119">
            <v>10617.44</v>
          </cell>
          <cell r="H119" t="str">
            <v>Arte Correntes</v>
          </cell>
        </row>
        <row r="120">
          <cell r="A120" t="str">
            <v>04.201.04</v>
          </cell>
          <cell r="B120" t="str">
            <v>BOCA DE BSCC 3,00X3,00M NORMAL</v>
          </cell>
          <cell r="C120" t="str">
            <v>unid.</v>
          </cell>
          <cell r="D120" t="str">
            <v>DNER-ES-286/97</v>
          </cell>
          <cell r="E120">
            <v>11442.839999999998</v>
          </cell>
          <cell r="F120">
            <v>3739.52</v>
          </cell>
          <cell r="G120">
            <v>15182.359999999999</v>
          </cell>
          <cell r="H120" t="str">
            <v>Arte Correntes</v>
          </cell>
        </row>
        <row r="121">
          <cell r="A121" t="str">
            <v>04.210.01</v>
          </cell>
          <cell r="B121" t="str">
            <v>CORPO BDCC 1,50X1,50M ALT. 0,00A1,00M</v>
          </cell>
          <cell r="C121" t="str">
            <v>m</v>
          </cell>
          <cell r="D121" t="str">
            <v>DNER-ES-286/97</v>
          </cell>
          <cell r="E121">
            <v>1113.8399999999999</v>
          </cell>
          <cell r="F121">
            <v>364</v>
          </cell>
          <cell r="G121">
            <v>1477.84</v>
          </cell>
          <cell r="H121" t="str">
            <v>Arte Correntes</v>
          </cell>
        </row>
        <row r="122">
          <cell r="A122" t="str">
            <v>04.210.05</v>
          </cell>
          <cell r="B122" t="str">
            <v>CORPO BDCC 1,50X1,50M ALT. 1,00A2,50M</v>
          </cell>
          <cell r="C122" t="str">
            <v>m</v>
          </cell>
          <cell r="D122" t="str">
            <v>DNER-ES-286/97</v>
          </cell>
          <cell r="E122">
            <v>995.42000000000007</v>
          </cell>
          <cell r="F122">
            <v>325.3</v>
          </cell>
          <cell r="G122">
            <v>1320.72</v>
          </cell>
          <cell r="H122" t="str">
            <v>Arte Correntes</v>
          </cell>
        </row>
        <row r="123">
          <cell r="A123" t="str">
            <v>04.210.09</v>
          </cell>
          <cell r="B123" t="str">
            <v>CORPO BDCC 1,50X1,50M ALT. 2,50A5,00M</v>
          </cell>
          <cell r="C123" t="str">
            <v>m</v>
          </cell>
          <cell r="D123" t="str">
            <v>DNER-ES-286/97</v>
          </cell>
          <cell r="E123">
            <v>1052.82</v>
          </cell>
          <cell r="F123">
            <v>344.06</v>
          </cell>
          <cell r="G123">
            <v>1396.8799999999999</v>
          </cell>
          <cell r="H123" t="str">
            <v>Arte Correntes</v>
          </cell>
        </row>
        <row r="124">
          <cell r="A124" t="str">
            <v>04.210.10</v>
          </cell>
          <cell r="B124" t="str">
            <v>CORPO BDCC 2,00X2,00M ALT. 2,50A5,00M</v>
          </cell>
          <cell r="C124" t="str">
            <v>m</v>
          </cell>
          <cell r="D124" t="str">
            <v>DNER-ES-286/97</v>
          </cell>
          <cell r="E124">
            <v>1609.0899999999997</v>
          </cell>
          <cell r="F124">
            <v>525.85</v>
          </cell>
          <cell r="G124">
            <v>2134.9399999999996</v>
          </cell>
          <cell r="H124" t="str">
            <v>Arte Correntes</v>
          </cell>
        </row>
        <row r="125">
          <cell r="A125" t="str">
            <v>04.210.13</v>
          </cell>
          <cell r="B125" t="str">
            <v>CORPO BDCC 1,50X1,50M ALT. 5,00A7,50M</v>
          </cell>
          <cell r="C125" t="str">
            <v>m</v>
          </cell>
          <cell r="D125" t="str">
            <v>DNER-ES-286/97</v>
          </cell>
          <cell r="E125">
            <v>1183.0800000000002</v>
          </cell>
          <cell r="F125">
            <v>386.63</v>
          </cell>
          <cell r="G125">
            <v>1569.71</v>
          </cell>
          <cell r="H125" t="str">
            <v>Arte Correntes</v>
          </cell>
        </row>
        <row r="126">
          <cell r="A126" t="str">
            <v>04.210.17</v>
          </cell>
          <cell r="B126" t="str">
            <v>CORPO BDCC 1,50X1,50M ALT. 7,50A10,00M</v>
          </cell>
          <cell r="C126" t="str">
            <v>m</v>
          </cell>
          <cell r="D126" t="str">
            <v>DNER-ES-286/97</v>
          </cell>
          <cell r="E126">
            <v>1298.5800000000002</v>
          </cell>
          <cell r="F126">
            <v>424.38</v>
          </cell>
          <cell r="G126">
            <v>1722.96</v>
          </cell>
          <cell r="H126" t="str">
            <v>Arte Correntes</v>
          </cell>
        </row>
        <row r="127">
          <cell r="A127" t="str">
            <v>04.210.21</v>
          </cell>
          <cell r="B127" t="str">
            <v>CORPO BDCC 1,50X1,50M ALT. 10,00A12,50M</v>
          </cell>
          <cell r="C127" t="str">
            <v>m</v>
          </cell>
          <cell r="D127" t="str">
            <v>DNER-ES-286/97</v>
          </cell>
          <cell r="E127">
            <v>1479.23</v>
          </cell>
          <cell r="F127">
            <v>483.41</v>
          </cell>
          <cell r="G127">
            <v>1962.64</v>
          </cell>
          <cell r="H127" t="str">
            <v>Arte Correntes</v>
          </cell>
        </row>
        <row r="128">
          <cell r="A128" t="str">
            <v>04.210.25</v>
          </cell>
          <cell r="B128" t="str">
            <v>CORPO BDCC 1,50X1,50M ALT. 12,50A15,00M</v>
          </cell>
          <cell r="C128" t="str">
            <v>m</v>
          </cell>
          <cell r="D128" t="str">
            <v>DNER-ES-286/97</v>
          </cell>
          <cell r="E128">
            <v>1570.21</v>
          </cell>
          <cell r="F128">
            <v>513.14</v>
          </cell>
          <cell r="G128">
            <v>2083.35</v>
          </cell>
          <cell r="H128" t="str">
            <v>Arte Correntes</v>
          </cell>
        </row>
        <row r="129">
          <cell r="A129" t="str">
            <v>04.210.27</v>
          </cell>
          <cell r="B129" t="str">
            <v>CORPO BDCC 2,50X2,50M ALT. 12,50A15,00M</v>
          </cell>
          <cell r="C129" t="str">
            <v>m</v>
          </cell>
          <cell r="D129" t="str">
            <v>DNER-ES-286/97</v>
          </cell>
          <cell r="E129">
            <v>3364.87</v>
          </cell>
          <cell r="F129">
            <v>1099.6400000000001</v>
          </cell>
          <cell r="G129">
            <v>4464.51</v>
          </cell>
          <cell r="H129" t="str">
            <v>Arte Correntes</v>
          </cell>
        </row>
        <row r="130">
          <cell r="A130" t="str">
            <v>04.211.01</v>
          </cell>
          <cell r="B130" t="str">
            <v>BOCA BDCC 1,50X1,50M NORMAL</v>
          </cell>
          <cell r="C130" t="str">
            <v>unid.</v>
          </cell>
          <cell r="D130" t="str">
            <v>DNER-ES-286/97</v>
          </cell>
          <cell r="E130">
            <v>4375.45</v>
          </cell>
          <cell r="F130">
            <v>1429.9</v>
          </cell>
          <cell r="G130">
            <v>5805.35</v>
          </cell>
          <cell r="H130" t="str">
            <v>Arte Correntes</v>
          </cell>
        </row>
        <row r="131">
          <cell r="A131" t="str">
            <v>04.211.02</v>
          </cell>
          <cell r="B131" t="str">
            <v>BOCA BDCC 2,00X2,00M NORMAL</v>
          </cell>
          <cell r="C131" t="str">
            <v>unid.</v>
          </cell>
          <cell r="D131" t="str">
            <v>DNER-ES-286/97</v>
          </cell>
          <cell r="E131">
            <v>6845.93</v>
          </cell>
          <cell r="F131">
            <v>2237.25</v>
          </cell>
          <cell r="G131">
            <v>9083.18</v>
          </cell>
          <cell r="H131" t="str">
            <v>Arte Correntes</v>
          </cell>
        </row>
        <row r="132">
          <cell r="A132" t="str">
            <v>04.211.03</v>
          </cell>
          <cell r="B132" t="str">
            <v>BOCA BDCC 2,50X2,50M NORMAL</v>
          </cell>
          <cell r="C132" t="str">
            <v>unid.</v>
          </cell>
          <cell r="D132" t="str">
            <v>DNER-ES-286/97</v>
          </cell>
          <cell r="E132">
            <v>9638.8799999999992</v>
          </cell>
          <cell r="F132">
            <v>3149.99</v>
          </cell>
          <cell r="G132">
            <v>12788.869999999999</v>
          </cell>
          <cell r="H132" t="str">
            <v>Arte Correntes</v>
          </cell>
        </row>
        <row r="133">
          <cell r="A133" t="str">
            <v>04.220.05</v>
          </cell>
          <cell r="B133" t="str">
            <v>CORPO BTCC 1,50X1,50M ALT. 1,00A2,50M</v>
          </cell>
          <cell r="C133" t="str">
            <v>m</v>
          </cell>
          <cell r="D133" t="str">
            <v>DNER-ES-286/97</v>
          </cell>
          <cell r="E133">
            <v>1418.54</v>
          </cell>
          <cell r="F133">
            <v>463.58</v>
          </cell>
          <cell r="G133">
            <v>1882.12</v>
          </cell>
          <cell r="H133" t="str">
            <v>Arte Correntes</v>
          </cell>
        </row>
        <row r="134">
          <cell r="A134" t="str">
            <v>04.220.10</v>
          </cell>
          <cell r="B134" t="str">
            <v>CORPO BTCC 2,00X2,00M ALT. 2,50A5,00M</v>
          </cell>
          <cell r="C134" t="str">
            <v>m</v>
          </cell>
          <cell r="D134" t="str">
            <v>DNER-ES-286/97</v>
          </cell>
          <cell r="E134">
            <v>2297.6600000000003</v>
          </cell>
          <cell r="F134">
            <v>750.88</v>
          </cell>
          <cell r="G134">
            <v>3048.5400000000004</v>
          </cell>
          <cell r="H134" t="str">
            <v>Arte Correntes</v>
          </cell>
        </row>
        <row r="135">
          <cell r="A135" t="str">
            <v>04.220.13</v>
          </cell>
          <cell r="B135" t="str">
            <v>CORPO BTCC 1,50X1,50M ALT. 5,00A7,50M</v>
          </cell>
          <cell r="C135" t="str">
            <v>m</v>
          </cell>
          <cell r="D135" t="str">
            <v>DNER-ES-286/97</v>
          </cell>
          <cell r="E135">
            <v>1632.17</v>
          </cell>
          <cell r="F135">
            <v>533.39</v>
          </cell>
          <cell r="G135">
            <v>2165.56</v>
          </cell>
          <cell r="H135" t="str">
            <v>Arte Correntes</v>
          </cell>
        </row>
        <row r="136">
          <cell r="A136" t="str">
            <v>04.220.18</v>
          </cell>
          <cell r="B136" t="str">
            <v>CORPO BTCC 2,00X2,00M ALT. 7,50A10,00M</v>
          </cell>
          <cell r="C136" t="str">
            <v>m</v>
          </cell>
          <cell r="D136" t="str">
            <v>DNER-ES-286/97</v>
          </cell>
          <cell r="E136">
            <v>2926.1600000000003</v>
          </cell>
          <cell r="F136">
            <v>956.27</v>
          </cell>
          <cell r="G136">
            <v>3882.4300000000003</v>
          </cell>
          <cell r="H136" t="str">
            <v>Arte Correntes</v>
          </cell>
        </row>
        <row r="137">
          <cell r="A137" t="str">
            <v>04.220.19</v>
          </cell>
          <cell r="B137" t="str">
            <v>CORPO BTCC 2,50X2,50M ALT. 7,50A10,00M</v>
          </cell>
          <cell r="C137" t="str">
            <v>m</v>
          </cell>
          <cell r="D137" t="str">
            <v>DNER-ES-286/97</v>
          </cell>
          <cell r="E137">
            <v>4074.2900000000004</v>
          </cell>
          <cell r="F137">
            <v>1331.48</v>
          </cell>
          <cell r="G137">
            <v>5405.77</v>
          </cell>
          <cell r="H137" t="str">
            <v>Arte Correntes</v>
          </cell>
        </row>
        <row r="138">
          <cell r="A138" t="str">
            <v>04.220.26</v>
          </cell>
          <cell r="B138" t="str">
            <v>CORPO BTCC 2,00X2,00M ALT. 12,50A15,00M</v>
          </cell>
          <cell r="C138" t="str">
            <v>m</v>
          </cell>
          <cell r="D138" t="str">
            <v>DNER-ES-286/97</v>
          </cell>
          <cell r="E138">
            <v>3421.99</v>
          </cell>
          <cell r="F138">
            <v>1118.31</v>
          </cell>
          <cell r="G138">
            <v>4540.2999999999993</v>
          </cell>
          <cell r="H138" t="str">
            <v>Arte Correntes</v>
          </cell>
        </row>
        <row r="139">
          <cell r="A139" t="str">
            <v>04.221.01</v>
          </cell>
          <cell r="B139" t="str">
            <v>BOCA BTCC 1,50X1,50M NORMAL</v>
          </cell>
          <cell r="C139" t="str">
            <v>unid.</v>
          </cell>
          <cell r="D139" t="str">
            <v>DNER-ES-286/97</v>
          </cell>
          <cell r="E139">
            <v>5448.53</v>
          </cell>
          <cell r="F139">
            <v>1780.58</v>
          </cell>
          <cell r="G139">
            <v>7229.11</v>
          </cell>
          <cell r="H139" t="str">
            <v>Arte Correntes</v>
          </cell>
        </row>
        <row r="140">
          <cell r="A140" t="str">
            <v>04.221.02</v>
          </cell>
          <cell r="B140" t="str">
            <v>BOCA BTCC 2,00X2,00M NORMAL</v>
          </cell>
          <cell r="C140" t="str">
            <v>unid.</v>
          </cell>
          <cell r="D140" t="str">
            <v>DNER-ES-286/97</v>
          </cell>
          <cell r="E140">
            <v>8341.69</v>
          </cell>
          <cell r="F140">
            <v>2726.06</v>
          </cell>
          <cell r="G140">
            <v>11067.75</v>
          </cell>
          <cell r="H140" t="str">
            <v>Arte Correntes</v>
          </cell>
        </row>
        <row r="141">
          <cell r="A141" t="str">
            <v>04.221.03</v>
          </cell>
          <cell r="B141" t="str">
            <v>BOCA BTCC 2,50X2,50M NORMAL</v>
          </cell>
          <cell r="C141" t="str">
            <v>unid.</v>
          </cell>
          <cell r="D141" t="str">
            <v>DNER-ES-286/97</v>
          </cell>
          <cell r="E141">
            <v>11777.64</v>
          </cell>
          <cell r="F141">
            <v>3848.93</v>
          </cell>
          <cell r="G141">
            <v>15626.57</v>
          </cell>
          <cell r="H141" t="str">
            <v>Arte Correntes</v>
          </cell>
        </row>
        <row r="142">
          <cell r="A142" t="str">
            <v>04.999.01</v>
          </cell>
          <cell r="B142" t="str">
            <v>REMOÇÃO DE BUEIROS EXISTENTES</v>
          </cell>
          <cell r="C142" t="str">
            <v>m</v>
          </cell>
          <cell r="D142" t="str">
            <v>DNER-ES-296/97</v>
          </cell>
          <cell r="E142">
            <v>23.01</v>
          </cell>
          <cell r="F142">
            <v>7.52</v>
          </cell>
          <cell r="G142">
            <v>30.53</v>
          </cell>
          <cell r="H142" t="str">
            <v>Arte Correntes</v>
          </cell>
        </row>
        <row r="143">
          <cell r="A143" t="str">
            <v>PAVIMENTAÇÃO</v>
          </cell>
        </row>
        <row r="144">
          <cell r="A144" t="str">
            <v>02.110.00</v>
          </cell>
          <cell r="B144" t="str">
            <v>REGULARIZAÇÃO DO SUB-LEITO</v>
          </cell>
          <cell r="C144" t="str">
            <v>m²</v>
          </cell>
          <cell r="D144" t="str">
            <v>DNER-ES-299/97</v>
          </cell>
          <cell r="E144">
            <v>0.25</v>
          </cell>
          <cell r="F144">
            <v>0.08</v>
          </cell>
          <cell r="G144">
            <v>0.33</v>
          </cell>
          <cell r="H144" t="str">
            <v>Pavimentação</v>
          </cell>
        </row>
        <row r="145">
          <cell r="A145" t="str">
            <v>02.241.01</v>
          </cell>
          <cell r="B145" t="str">
            <v>BASE DE SOLO CIMENTO C/MISTURA EM USINA OU NA PISTA C/RECICLADORA</v>
          </cell>
          <cell r="C145" t="str">
            <v>m³</v>
          </cell>
          <cell r="D145" t="str">
            <v>DNER-ES-305/97</v>
          </cell>
          <cell r="E145">
            <v>82.100000000000009</v>
          </cell>
          <cell r="F145">
            <v>26.83</v>
          </cell>
          <cell r="G145">
            <v>108.93</v>
          </cell>
          <cell r="H145" t="str">
            <v>Pavimentação</v>
          </cell>
        </row>
        <row r="146">
          <cell r="A146" t="str">
            <v>02.243.01</v>
          </cell>
          <cell r="B146" t="str">
            <v>SUB-BASE DE SOLO MELHORADO C/CIMENTO MISTURA EM USINA OU NA PISTA C/RECICLADORA</v>
          </cell>
          <cell r="C146" t="str">
            <v>m³</v>
          </cell>
          <cell r="D146" t="str">
            <v>DNER-ES-302/97</v>
          </cell>
          <cell r="E146">
            <v>52.480000000000004</v>
          </cell>
          <cell r="F146">
            <v>17.149999999999999</v>
          </cell>
          <cell r="G146">
            <v>69.63</v>
          </cell>
          <cell r="H146" t="str">
            <v>Pavimentação</v>
          </cell>
        </row>
        <row r="147">
          <cell r="A147" t="str">
            <v>02.270.00</v>
          </cell>
          <cell r="B147" t="str">
            <v>RECICLAGEM E ESTABILIZAÇÃO DA BASE C/ADIÇÃO DE CMENTO EXECUTADO C/RECICLADORA</v>
          </cell>
          <cell r="C147" t="str">
            <v>m³</v>
          </cell>
          <cell r="D147" t="str">
            <v>EP-405/2000</v>
          </cell>
          <cell r="E147">
            <v>53.51</v>
          </cell>
          <cell r="F147">
            <v>17.489999999999998</v>
          </cell>
          <cell r="G147">
            <v>71</v>
          </cell>
          <cell r="H147" t="str">
            <v>Pavimentação</v>
          </cell>
        </row>
        <row r="148">
          <cell r="A148" t="str">
            <v>02.300.00</v>
          </cell>
          <cell r="B148" t="str">
            <v>IMPRIMAÇÃO</v>
          </cell>
          <cell r="C148" t="str">
            <v>m²</v>
          </cell>
          <cell r="D148" t="str">
            <v>DNER-ES-306/97</v>
          </cell>
          <cell r="E148">
            <v>7.0000000000000007E-2</v>
          </cell>
          <cell r="F148">
            <v>0.02</v>
          </cell>
          <cell r="G148">
            <v>9.0000000000000011E-2</v>
          </cell>
          <cell r="H148" t="str">
            <v>Pavimentação</v>
          </cell>
        </row>
        <row r="149">
          <cell r="A149" t="str">
            <v>02.400.00</v>
          </cell>
          <cell r="B149" t="str">
            <v>PINTURA DE LIGAÇÃO</v>
          </cell>
          <cell r="C149" t="str">
            <v>m²</v>
          </cell>
          <cell r="D149" t="str">
            <v>DNER-ES-307/97</v>
          </cell>
          <cell r="E149">
            <v>0.05</v>
          </cell>
          <cell r="F149">
            <v>0.02</v>
          </cell>
          <cell r="G149">
            <v>7.0000000000000007E-2</v>
          </cell>
          <cell r="H149" t="str">
            <v>Pavimentação</v>
          </cell>
        </row>
        <row r="150">
          <cell r="A150" t="str">
            <v>02.501.01</v>
          </cell>
          <cell r="B150" t="str">
            <v>TRATAMENTO SUPERFICIAL DUPLO COM EMULSÃO</v>
          </cell>
          <cell r="C150" t="str">
            <v>m²</v>
          </cell>
          <cell r="D150" t="str">
            <v>DNER-ES-308/97</v>
          </cell>
          <cell r="E150">
            <v>1.9500000000000002</v>
          </cell>
          <cell r="F150">
            <v>0.64</v>
          </cell>
          <cell r="G150">
            <v>2.5900000000000003</v>
          </cell>
          <cell r="H150" t="str">
            <v>Pavimentação</v>
          </cell>
        </row>
        <row r="151">
          <cell r="A151" t="str">
            <v>02.540.01</v>
          </cell>
          <cell r="B151" t="str">
            <v>CONCRETO BETUMINOSO USINADO A QUENTE - CAPA ROLAMENTO (FAIXA C)</v>
          </cell>
          <cell r="C151" t="str">
            <v>t</v>
          </cell>
          <cell r="D151" t="str">
            <v>DNER-ES-313/97</v>
          </cell>
          <cell r="E151">
            <v>57.38</v>
          </cell>
          <cell r="F151">
            <v>18.75</v>
          </cell>
          <cell r="G151">
            <v>76.13</v>
          </cell>
          <cell r="H151" t="str">
            <v>Pavimentação</v>
          </cell>
        </row>
        <row r="152">
          <cell r="A152" t="str">
            <v>02.540.02</v>
          </cell>
          <cell r="B152" t="str">
            <v>CONCRETO BETUMINOSO USINADO A QUENTE - BINDER (FAIXA B)</v>
          </cell>
          <cell r="C152" t="str">
            <v>t</v>
          </cell>
          <cell r="D152" t="str">
            <v>DNER-ES-313/97</v>
          </cell>
          <cell r="E152">
            <v>45.78</v>
          </cell>
          <cell r="F152">
            <v>14.96</v>
          </cell>
          <cell r="G152">
            <v>60.74</v>
          </cell>
          <cell r="H152" t="str">
            <v>Pavimentação</v>
          </cell>
        </row>
        <row r="153">
          <cell r="A153" t="str">
            <v>02.902.00</v>
          </cell>
          <cell r="B153" t="str">
            <v>REMOÇÃO MECANIZADA DA CAMADA GRANULAR DO PAVIMENTO</v>
          </cell>
          <cell r="C153" t="str">
            <v>m³</v>
          </cell>
          <cell r="D153" t="str">
            <v>DNER-ES-281/97</v>
          </cell>
          <cell r="E153">
            <v>4.03</v>
          </cell>
          <cell r="F153">
            <v>1.32</v>
          </cell>
          <cell r="G153">
            <v>5.3500000000000005</v>
          </cell>
          <cell r="H153" t="str">
            <v>Pavimentação</v>
          </cell>
        </row>
        <row r="154">
          <cell r="A154" t="str">
            <v>AQUISIÇÃO DE MATERIAL BETUMINOSO</v>
          </cell>
        </row>
        <row r="155">
          <cell r="A155" t="str">
            <v>09.600.01</v>
          </cell>
          <cell r="B155" t="str">
            <v>FORNECIMENTO DE RR-2C</v>
          </cell>
          <cell r="C155" t="str">
            <v>t</v>
          </cell>
          <cell r="E155">
            <v>592.9</v>
          </cell>
          <cell r="F155">
            <v>193.76</v>
          </cell>
          <cell r="G155">
            <v>786.66</v>
          </cell>
          <cell r="H155" t="str">
            <v>Betuminoso</v>
          </cell>
        </row>
        <row r="156">
          <cell r="A156" t="str">
            <v>09.600.02</v>
          </cell>
          <cell r="B156" t="str">
            <v>FORNECIMENTO DE CM-30</v>
          </cell>
          <cell r="C156" t="str">
            <v>t</v>
          </cell>
          <cell r="E156">
            <v>949.7</v>
          </cell>
          <cell r="F156">
            <v>310.36</v>
          </cell>
          <cell r="G156">
            <v>1260.06</v>
          </cell>
          <cell r="H156" t="str">
            <v>Betuminoso</v>
          </cell>
        </row>
        <row r="157">
          <cell r="A157" t="str">
            <v>09.600.03</v>
          </cell>
          <cell r="B157" t="str">
            <v>FORNECIMENTO DE CAP-20</v>
          </cell>
          <cell r="C157" t="str">
            <v>t</v>
          </cell>
          <cell r="E157">
            <v>688.1</v>
          </cell>
          <cell r="F157">
            <v>224.87</v>
          </cell>
          <cell r="G157">
            <v>912.97</v>
          </cell>
          <cell r="H157" t="str">
            <v>Betuminoso</v>
          </cell>
        </row>
        <row r="158">
          <cell r="A158" t="str">
            <v>09.600.07</v>
          </cell>
          <cell r="B158" t="str">
            <v>FORNECIMENTO DE RR-1C</v>
          </cell>
          <cell r="C158" t="str">
            <v>t</v>
          </cell>
          <cell r="E158">
            <v>527.4</v>
          </cell>
          <cell r="F158">
            <v>172.35</v>
          </cell>
          <cell r="G158">
            <v>699.75</v>
          </cell>
          <cell r="H158" t="str">
            <v>Betuminoso</v>
          </cell>
        </row>
        <row r="159">
          <cell r="A159" t="str">
            <v>TRANSPORTE DE MATERIAL BETUMINOSO</v>
          </cell>
        </row>
        <row r="160">
          <cell r="A160" t="str">
            <v>00.112.90</v>
          </cell>
          <cell r="B160" t="str">
            <v>TRANSPORTE COMERCIAL MATERIAL BETUMINOSO A QUENTE</v>
          </cell>
          <cell r="C160" t="str">
            <v>t</v>
          </cell>
          <cell r="E160">
            <v>123.23</v>
          </cell>
          <cell r="F160">
            <v>40.270000000000003</v>
          </cell>
          <cell r="G160">
            <v>163.5</v>
          </cell>
          <cell r="H160" t="str">
            <v>Betuminoso</v>
          </cell>
        </row>
        <row r="161">
          <cell r="A161" t="str">
            <v>00.112.91</v>
          </cell>
          <cell r="B161" t="str">
            <v>TRANSPORTE COMERCIAL MATERIAL BETUMINOSO A FRIO</v>
          </cell>
          <cell r="C161" t="str">
            <v>t</v>
          </cell>
          <cell r="E161">
            <v>111.07</v>
          </cell>
          <cell r="F161">
            <v>36.299999999999997</v>
          </cell>
          <cell r="G161">
            <v>147.37</v>
          </cell>
          <cell r="H161" t="str">
            <v>Betuminoso</v>
          </cell>
        </row>
        <row r="162">
          <cell r="A162" t="str">
            <v>OBRAS COMPLEMENTARES</v>
          </cell>
        </row>
        <row r="163">
          <cell r="A163" t="str">
            <v>01.513.01</v>
          </cell>
          <cell r="B163" t="str">
            <v>COMPACTAÇÃO DE MATERIAL EM BOTA-FORA</v>
          </cell>
          <cell r="C163" t="str">
            <v>m³</v>
          </cell>
          <cell r="D163" t="str">
            <v>DNER-ES-282/97</v>
          </cell>
          <cell r="E163">
            <v>0.63</v>
          </cell>
          <cell r="F163">
            <v>0.21</v>
          </cell>
          <cell r="G163">
            <v>0.84</v>
          </cell>
          <cell r="H163" t="str">
            <v>Obras Comp.</v>
          </cell>
        </row>
        <row r="164">
          <cell r="A164" t="str">
            <v>04.999.07</v>
          </cell>
          <cell r="B164" t="str">
            <v>DEMOLIÇÃO DE DISPOSITIVOS DE CONCRETO</v>
          </cell>
          <cell r="C164" t="str">
            <v>m³</v>
          </cell>
          <cell r="D164" t="str">
            <v>DNER-ES-296/97</v>
          </cell>
          <cell r="E164">
            <v>46.36</v>
          </cell>
          <cell r="F164">
            <v>15.15</v>
          </cell>
          <cell r="G164">
            <v>61.51</v>
          </cell>
          <cell r="H164" t="str">
            <v>Obras Comp.</v>
          </cell>
        </row>
        <row r="165">
          <cell r="A165" t="str">
            <v>06.010.01</v>
          </cell>
          <cell r="B165" t="str">
            <v>DEFENSA SEMI-MALEÁVEL SIMPLES</v>
          </cell>
          <cell r="C165" t="str">
            <v>m</v>
          </cell>
          <cell r="D165" t="str">
            <v>DNER-ES-144/85</v>
          </cell>
          <cell r="E165">
            <v>62.06</v>
          </cell>
          <cell r="F165">
            <v>20.28</v>
          </cell>
          <cell r="G165">
            <v>82.34</v>
          </cell>
          <cell r="H165" t="str">
            <v>Obras Comp.</v>
          </cell>
        </row>
        <row r="166">
          <cell r="A166" t="str">
            <v>06.400.01</v>
          </cell>
          <cell r="B166" t="str">
            <v>CERCAS DE ARAME FARPADO COM MOURÃO DE CONCRETO SEÇÃO QUADRADA</v>
          </cell>
          <cell r="C166" t="str">
            <v>m</v>
          </cell>
          <cell r="D166" t="str">
            <v>DNER-ES-338/97</v>
          </cell>
          <cell r="E166">
            <v>9.6300000000000008</v>
          </cell>
          <cell r="F166">
            <v>3.15</v>
          </cell>
          <cell r="G166">
            <v>12.780000000000001</v>
          </cell>
          <cell r="H166" t="str">
            <v>Obras Comp.</v>
          </cell>
        </row>
        <row r="167">
          <cell r="A167" t="str">
            <v>SINALIZAÇÃO</v>
          </cell>
        </row>
        <row r="168">
          <cell r="A168" t="str">
            <v>06.110.01</v>
          </cell>
          <cell r="B168" t="str">
            <v>PINTURA DE FAIXA C/TERMOPLÁSTICO - 3 ANOS (P/ASPERSÃO)</v>
          </cell>
          <cell r="C168" t="str">
            <v>m²</v>
          </cell>
          <cell r="D168" t="str">
            <v>DNER-ES-339/97</v>
          </cell>
          <cell r="E168">
            <v>17.150000000000002</v>
          </cell>
          <cell r="F168">
            <v>5.6</v>
          </cell>
          <cell r="G168">
            <v>22.75</v>
          </cell>
          <cell r="H168" t="str">
            <v>Sinalização</v>
          </cell>
        </row>
        <row r="169">
          <cell r="A169" t="str">
            <v>06.110.02</v>
          </cell>
          <cell r="B169" t="str">
            <v>PINTURA ZETAS E ZEBRADO TERMOPLÁSTICO - 3 ANOS (P/ASPERSÃO)</v>
          </cell>
          <cell r="C169" t="str">
            <v>m²</v>
          </cell>
          <cell r="D169" t="str">
            <v>DNER-ES-339/97</v>
          </cell>
          <cell r="E169">
            <v>20.909999999999997</v>
          </cell>
          <cell r="F169">
            <v>6.83</v>
          </cell>
          <cell r="G169">
            <v>27.739999999999995</v>
          </cell>
          <cell r="H169" t="str">
            <v>Sinalização</v>
          </cell>
        </row>
        <row r="170">
          <cell r="A170" t="str">
            <v>06.120.01</v>
          </cell>
          <cell r="B170" t="str">
            <v>FORNECIMENTO E COLOCAÇÃO DE TACHA REFLETIVA MONODIRECIONAL</v>
          </cell>
          <cell r="C170" t="str">
            <v>unid.</v>
          </cell>
          <cell r="D170" t="str">
            <v>DNER-ES-339/97</v>
          </cell>
          <cell r="E170">
            <v>5.07</v>
          </cell>
          <cell r="F170">
            <v>1.66</v>
          </cell>
          <cell r="G170">
            <v>6.73</v>
          </cell>
          <cell r="H170" t="str">
            <v>Sinalização</v>
          </cell>
        </row>
        <row r="171">
          <cell r="A171" t="str">
            <v>06.120.11</v>
          </cell>
          <cell r="B171" t="str">
            <v>FORNECIMENTO E COLOCAÇÃO DE TACHÃO REFLETIVO MONODIRECIONAL</v>
          </cell>
          <cell r="C171" t="str">
            <v>unid.</v>
          </cell>
          <cell r="D171" t="str">
            <v>DNER-ES-339/97</v>
          </cell>
          <cell r="E171">
            <v>13.870000000000001</v>
          </cell>
          <cell r="F171">
            <v>4.53</v>
          </cell>
          <cell r="G171">
            <v>18.400000000000002</v>
          </cell>
          <cell r="H171" t="str">
            <v>Sinalização</v>
          </cell>
        </row>
        <row r="172">
          <cell r="A172" t="str">
            <v>06.121.01</v>
          </cell>
          <cell r="B172" t="str">
            <v>FORNECIMENTO E COLOCAÇÃO DE TACHA REFLETIVA BIDIRECIONAL</v>
          </cell>
          <cell r="C172" t="str">
            <v>unid.</v>
          </cell>
          <cell r="D172" t="str">
            <v>DNER-ES-339/97</v>
          </cell>
          <cell r="E172">
            <v>6.01</v>
          </cell>
          <cell r="F172">
            <v>1.96</v>
          </cell>
          <cell r="G172">
            <v>7.97</v>
          </cell>
          <cell r="H172" t="str">
            <v>Sinalização</v>
          </cell>
        </row>
        <row r="173">
          <cell r="A173" t="str">
            <v>06.121.11</v>
          </cell>
          <cell r="B173" t="str">
            <v>FORNECIMENTO E COLOCAÇÃO DE TACHÃO REFLETIVO BIDIRECIONAL</v>
          </cell>
          <cell r="C173" t="str">
            <v>unid.</v>
          </cell>
          <cell r="D173" t="str">
            <v>DNER-ES-339/97</v>
          </cell>
          <cell r="E173">
            <v>14.57</v>
          </cell>
          <cell r="F173">
            <v>4.76</v>
          </cell>
          <cell r="G173">
            <v>19.329999999999998</v>
          </cell>
          <cell r="H173" t="str">
            <v>Sinalização</v>
          </cell>
        </row>
        <row r="174">
          <cell r="A174" t="str">
            <v>06.200.01</v>
          </cell>
          <cell r="B174" t="str">
            <v>PLACA DE SINALIZACAO SEMI-REFLETIVA</v>
          </cell>
          <cell r="C174" t="str">
            <v>m²</v>
          </cell>
          <cell r="D174" t="str">
            <v>DNER-ES-340/97</v>
          </cell>
          <cell r="E174">
            <v>129.26</v>
          </cell>
          <cell r="F174">
            <v>42.24</v>
          </cell>
          <cell r="G174">
            <v>171.5</v>
          </cell>
          <cell r="H174" t="str">
            <v>Sinalização</v>
          </cell>
        </row>
        <row r="175">
          <cell r="A175" t="str">
            <v>06.210.01</v>
          </cell>
          <cell r="B175" t="str">
            <v>PÓRTICO METÁLICO</v>
          </cell>
          <cell r="C175" t="str">
            <v>unid.</v>
          </cell>
          <cell r="D175" t="str">
            <v>DNER-ES-340/97</v>
          </cell>
          <cell r="E175">
            <v>13915.080000000002</v>
          </cell>
          <cell r="F175">
            <v>4547.45</v>
          </cell>
          <cell r="G175">
            <v>18462.530000000002</v>
          </cell>
          <cell r="H175" t="str">
            <v>Sinalização</v>
          </cell>
        </row>
        <row r="176">
          <cell r="A176" t="str">
            <v>06.230.01</v>
          </cell>
          <cell r="B176" t="str">
            <v>FORNECIMENTO E COLOCAÇÃO DE BALIZADOR DE CONCRETO</v>
          </cell>
          <cell r="C176" t="str">
            <v>unid.</v>
          </cell>
          <cell r="D176" t="str">
            <v>DNER-ES-340/97</v>
          </cell>
          <cell r="E176">
            <v>10.039999999999999</v>
          </cell>
          <cell r="F176">
            <v>3.28</v>
          </cell>
          <cell r="G176">
            <v>13.319999999999999</v>
          </cell>
          <cell r="H176" t="str">
            <v>Sinalização</v>
          </cell>
        </row>
        <row r="177">
          <cell r="A177" t="str">
            <v>MEIO AMBIENTE</v>
          </cell>
        </row>
        <row r="178">
          <cell r="A178" t="str">
            <v>05.100.00</v>
          </cell>
          <cell r="B178" t="str">
            <v>ENLEIVAMENTO</v>
          </cell>
          <cell r="C178" t="str">
            <v>m²</v>
          </cell>
          <cell r="D178" t="str">
            <v>DNER-ES-341/97</v>
          </cell>
          <cell r="E178">
            <v>2.57</v>
          </cell>
          <cell r="F178">
            <v>0.84</v>
          </cell>
          <cell r="G178">
            <v>3.4099999999999997</v>
          </cell>
          <cell r="H178" t="str">
            <v>Meio Ambiente</v>
          </cell>
        </row>
        <row r="179">
          <cell r="A179" t="str">
            <v>05.101.01</v>
          </cell>
          <cell r="B179" t="str">
            <v>REVESTIMENTO VEGETAL COM MUDAS</v>
          </cell>
          <cell r="C179" t="str">
            <v>m²</v>
          </cell>
          <cell r="D179" t="str">
            <v>DNER-ES-341/97</v>
          </cell>
          <cell r="E179">
            <v>2.15</v>
          </cell>
          <cell r="F179">
            <v>0.7</v>
          </cell>
          <cell r="G179">
            <v>2.8499999999999996</v>
          </cell>
          <cell r="H179" t="str">
            <v>Meio Ambiente</v>
          </cell>
        </row>
        <row r="180">
          <cell r="A180" t="str">
            <v>05.102.00</v>
          </cell>
          <cell r="B180" t="str">
            <v>HIDROSSEMEADURA</v>
          </cell>
          <cell r="C180" t="str">
            <v>m²</v>
          </cell>
          <cell r="D180" t="str">
            <v>DNER-ES-341/97</v>
          </cell>
          <cell r="E180">
            <v>0.73</v>
          </cell>
          <cell r="F180">
            <v>0.24</v>
          </cell>
          <cell r="G180">
            <v>0.97</v>
          </cell>
          <cell r="H180" t="str">
            <v>Meio Ambiente</v>
          </cell>
        </row>
        <row r="181">
          <cell r="A181" t="str">
            <v>05.999.01</v>
          </cell>
          <cell r="B181" t="str">
            <v>PLANTIO DE ÁRVORES E ARBUSTOS</v>
          </cell>
          <cell r="C181" t="str">
            <v>unid.</v>
          </cell>
          <cell r="D181" t="str">
            <v>EC-MA-01</v>
          </cell>
          <cell r="E181">
            <v>4.4800000000000004</v>
          </cell>
          <cell r="F181">
            <v>1.46</v>
          </cell>
          <cell r="G181">
            <v>5.94</v>
          </cell>
          <cell r="H181" t="str">
            <v>Meio Ambiente</v>
          </cell>
        </row>
        <row r="182">
          <cell r="A182" t="str">
            <v>OBRAS DE ARTE ESPECIAIS</v>
          </cell>
        </row>
        <row r="183">
          <cell r="A183" t="str">
            <v>01.580.02</v>
          </cell>
          <cell r="B183" t="str">
            <v>FORNECIMENTO, PREPARO E POSICIONAMENTO DE AÇO CA-50</v>
          </cell>
          <cell r="C183" t="str">
            <v>kg</v>
          </cell>
          <cell r="D183" t="str">
            <v>DNER-ES 331/97</v>
          </cell>
          <cell r="E183">
            <v>2.8699999999999997</v>
          </cell>
          <cell r="F183">
            <v>0.94</v>
          </cell>
          <cell r="G183">
            <v>3.8099999999999996</v>
          </cell>
          <cell r="H183" t="str">
            <v>OAE</v>
          </cell>
        </row>
        <row r="184">
          <cell r="A184" t="str">
            <v>01.580.03</v>
          </cell>
          <cell r="B184" t="str">
            <v>FORNECIMENTO, PREPARO E POSICIONAMENTO DE AÇO CA-25</v>
          </cell>
          <cell r="C184" t="str">
            <v>kg</v>
          </cell>
          <cell r="D184" t="str">
            <v>DNER-ES 331/97</v>
          </cell>
          <cell r="E184">
            <v>3.01</v>
          </cell>
          <cell r="F184">
            <v>0.98</v>
          </cell>
          <cell r="G184">
            <v>3.9899999999999998</v>
          </cell>
          <cell r="H184" t="str">
            <v>OAE</v>
          </cell>
        </row>
        <row r="185">
          <cell r="A185" t="str">
            <v>03.010.01</v>
          </cell>
          <cell r="B185" t="str">
            <v>ESCAVAÇÃO EM CAVAS DE FUNDAÇÃO S/ESGOTAMENTO</v>
          </cell>
          <cell r="C185" t="str">
            <v>m³</v>
          </cell>
          <cell r="D185" t="str">
            <v>DNER-ES 334/97</v>
          </cell>
          <cell r="E185">
            <v>19.82</v>
          </cell>
          <cell r="F185">
            <v>6.48</v>
          </cell>
          <cell r="G185">
            <v>26.3</v>
          </cell>
          <cell r="H185" t="str">
            <v>OAE</v>
          </cell>
        </row>
        <row r="186">
          <cell r="A186" t="str">
            <v>03.000.02</v>
          </cell>
          <cell r="B186" t="str">
            <v>ESCAVAÇÃO MANUAL DE CAVAS EM MATERIAL 1ª CATEGORIA</v>
          </cell>
          <cell r="C186" t="str">
            <v>m³</v>
          </cell>
          <cell r="D186" t="str">
            <v>DNER-ES 281/97</v>
          </cell>
          <cell r="E186">
            <v>17.48</v>
          </cell>
          <cell r="F186">
            <v>5.71</v>
          </cell>
          <cell r="G186">
            <v>23.19</v>
          </cell>
          <cell r="H186" t="str">
            <v>OAE</v>
          </cell>
        </row>
        <row r="187">
          <cell r="A187" t="str">
            <v>03.119.01</v>
          </cell>
          <cell r="B187" t="str">
            <v>ESCORAMENTO DE MADEIRA PARA OAE</v>
          </cell>
          <cell r="C187" t="str">
            <v>m³</v>
          </cell>
          <cell r="D187" t="str">
            <v>DNER-ES 286/97</v>
          </cell>
          <cell r="E187">
            <v>16.829999999999998</v>
          </cell>
          <cell r="F187">
            <v>5.5</v>
          </cell>
          <cell r="G187">
            <v>22.33</v>
          </cell>
          <cell r="H187" t="str">
            <v>OAE</v>
          </cell>
        </row>
        <row r="188">
          <cell r="A188" t="str">
            <v>03.300.01</v>
          </cell>
          <cell r="B188" t="str">
            <v>CONFECÇÃO E LANÇAMENTO DE CONCRETO MAGRO EM BETONEIRA</v>
          </cell>
          <cell r="C188" t="str">
            <v>m³</v>
          </cell>
          <cell r="D188" t="str">
            <v>DNER-ES 330/97</v>
          </cell>
          <cell r="E188">
            <v>157.06</v>
          </cell>
          <cell r="F188">
            <v>51.33</v>
          </cell>
          <cell r="G188">
            <v>208.39</v>
          </cell>
          <cell r="H188" t="str">
            <v>OAE</v>
          </cell>
        </row>
        <row r="189">
          <cell r="A189" t="str">
            <v>03.323.00</v>
          </cell>
          <cell r="B189" t="str">
            <v>CONCRETO ESTRUTURAL FCK=12MPA</v>
          </cell>
          <cell r="C189" t="str">
            <v>m³</v>
          </cell>
          <cell r="D189" t="str">
            <v>DNER-ES 330/97</v>
          </cell>
          <cell r="E189">
            <v>192.2</v>
          </cell>
          <cell r="F189">
            <v>62.81</v>
          </cell>
          <cell r="G189">
            <v>255.01</v>
          </cell>
          <cell r="H189" t="str">
            <v>OAE</v>
          </cell>
        </row>
        <row r="190">
          <cell r="A190" t="str">
            <v>03.324.00</v>
          </cell>
          <cell r="B190" t="str">
            <v>CONCRETO ESTRUTURAL FCK=15MPA</v>
          </cell>
          <cell r="C190" t="str">
            <v>m³</v>
          </cell>
          <cell r="D190" t="str">
            <v>DNER-ES 330/97</v>
          </cell>
          <cell r="E190">
            <v>200.12</v>
          </cell>
          <cell r="F190">
            <v>65.400000000000006</v>
          </cell>
          <cell r="G190">
            <v>265.52</v>
          </cell>
          <cell r="H190" t="str">
            <v>OAE</v>
          </cell>
        </row>
        <row r="191">
          <cell r="A191" t="str">
            <v>03.325.00</v>
          </cell>
          <cell r="B191" t="str">
            <v>CONCRETO ESTRUTURAL FCK=18MPA</v>
          </cell>
          <cell r="C191" t="str">
            <v>m³</v>
          </cell>
          <cell r="D191" t="str">
            <v>DNER-ES 330/97</v>
          </cell>
          <cell r="E191">
            <v>207.88</v>
          </cell>
          <cell r="F191">
            <v>67.94</v>
          </cell>
          <cell r="G191">
            <v>275.82</v>
          </cell>
          <cell r="H191" t="str">
            <v>OAE</v>
          </cell>
        </row>
        <row r="192">
          <cell r="A192" t="str">
            <v>03.326.00</v>
          </cell>
          <cell r="B192" t="str">
            <v>CONCRETO ESTRUTURAL FCK=20MPA</v>
          </cell>
          <cell r="C192" t="str">
            <v>m³</v>
          </cell>
          <cell r="D192" t="str">
            <v>DNER-ES 330/97</v>
          </cell>
          <cell r="E192">
            <v>214.3</v>
          </cell>
          <cell r="F192">
            <v>70.03</v>
          </cell>
          <cell r="G192">
            <v>284.33000000000004</v>
          </cell>
          <cell r="H192" t="str">
            <v>OAE</v>
          </cell>
        </row>
        <row r="193">
          <cell r="A193" t="str">
            <v>03.326.01</v>
          </cell>
          <cell r="B193" t="str">
            <v>CONCRETO ESTRUTURAL FCK=20MPA ADITIVADO, USINADO</v>
          </cell>
          <cell r="C193" t="str">
            <v>m³</v>
          </cell>
          <cell r="D193" t="str">
            <v>DNER-ES 330/97</v>
          </cell>
          <cell r="E193">
            <v>213.94</v>
          </cell>
          <cell r="F193">
            <v>69.92</v>
          </cell>
          <cell r="G193">
            <v>283.86</v>
          </cell>
          <cell r="H193" t="str">
            <v>OAE</v>
          </cell>
        </row>
        <row r="194">
          <cell r="A194" t="str">
            <v>03.329.00</v>
          </cell>
          <cell r="B194" t="str">
            <v>PAVIMENTAÇÃO EM CONCRETO DE CIMENTO (CONFEC. E LANÇAMENTO)</v>
          </cell>
          <cell r="C194" t="str">
            <v>m³</v>
          </cell>
          <cell r="E194">
            <v>188.71999999999997</v>
          </cell>
          <cell r="F194">
            <v>61.67</v>
          </cell>
          <cell r="G194">
            <v>250.39</v>
          </cell>
          <cell r="H194" t="str">
            <v>OAE</v>
          </cell>
        </row>
        <row r="195">
          <cell r="A195" t="str">
            <v>03.329.01</v>
          </cell>
          <cell r="B195" t="str">
            <v>CONCRETO ESTRUTURAL FCK=25MPA</v>
          </cell>
          <cell r="C195" t="str">
            <v>m³</v>
          </cell>
          <cell r="D195" t="str">
            <v>DNER-ES 330/97</v>
          </cell>
          <cell r="E195">
            <v>229.38</v>
          </cell>
          <cell r="F195">
            <v>74.959999999999994</v>
          </cell>
          <cell r="G195">
            <v>304.33999999999997</v>
          </cell>
          <cell r="H195" t="str">
            <v>OAE</v>
          </cell>
        </row>
        <row r="196">
          <cell r="A196" t="str">
            <v>03.329.04</v>
          </cell>
          <cell r="B196" t="str">
            <v>CONCRETO ESTRUTURAL FCK=35MPA</v>
          </cell>
          <cell r="C196" t="str">
            <v>m³</v>
          </cell>
          <cell r="D196" t="str">
            <v>DNER-ES 330/97</v>
          </cell>
          <cell r="E196">
            <v>244.79999999999998</v>
          </cell>
          <cell r="F196">
            <v>80</v>
          </cell>
          <cell r="G196">
            <v>324.79999999999995</v>
          </cell>
          <cell r="H196" t="str">
            <v>OAE</v>
          </cell>
        </row>
        <row r="197">
          <cell r="A197" t="str">
            <v>03.370.00</v>
          </cell>
          <cell r="B197" t="str">
            <v>FORMAS COMUNS DE MADEIRA</v>
          </cell>
          <cell r="C197" t="str">
            <v>m²</v>
          </cell>
          <cell r="D197" t="str">
            <v>DNER-ES 333/97</v>
          </cell>
          <cell r="E197">
            <v>21.799999999999997</v>
          </cell>
          <cell r="F197">
            <v>7.12</v>
          </cell>
          <cell r="G197">
            <v>28.919999999999998</v>
          </cell>
          <cell r="H197" t="str">
            <v>OAE</v>
          </cell>
        </row>
        <row r="198">
          <cell r="A198" t="str">
            <v>03.371.01</v>
          </cell>
          <cell r="B198" t="str">
            <v>FORMA DE PLACA COMPENSADA RESINADA</v>
          </cell>
          <cell r="C198" t="str">
            <v>m²</v>
          </cell>
          <cell r="D198" t="str">
            <v>DNER-ES 333/97</v>
          </cell>
          <cell r="E198">
            <v>16.11</v>
          </cell>
          <cell r="F198">
            <v>5.26</v>
          </cell>
          <cell r="G198">
            <v>21.369999999999997</v>
          </cell>
          <cell r="H198" t="str">
            <v>OAE</v>
          </cell>
        </row>
        <row r="199">
          <cell r="A199" t="str">
            <v>03.372.01</v>
          </cell>
          <cell r="B199" t="str">
            <v>FORMA P/TUBULÃO</v>
          </cell>
          <cell r="C199" t="str">
            <v>m²</v>
          </cell>
          <cell r="D199" t="str">
            <v>DNER-ES 333/97</v>
          </cell>
          <cell r="E199">
            <v>9.74</v>
          </cell>
          <cell r="F199">
            <v>3.18</v>
          </cell>
          <cell r="G199">
            <v>12.92</v>
          </cell>
          <cell r="H199" t="str">
            <v>OAE</v>
          </cell>
        </row>
        <row r="200">
          <cell r="A200" t="str">
            <v>03.410.21</v>
          </cell>
          <cell r="B200" t="str">
            <v>TUBULÃO A CÉU ABERTO DIAMETRO EXTERNO = 1,40M</v>
          </cell>
          <cell r="C200" t="str">
            <v>m</v>
          </cell>
          <cell r="D200" t="str">
            <v>DNER-ES 334/97</v>
          </cell>
          <cell r="E200">
            <v>859.8</v>
          </cell>
          <cell r="F200">
            <v>280.98</v>
          </cell>
          <cell r="G200">
            <v>1140.78</v>
          </cell>
          <cell r="H200" t="str">
            <v>OAE</v>
          </cell>
        </row>
        <row r="201">
          <cell r="A201" t="str">
            <v>03.411.21</v>
          </cell>
          <cell r="B201" t="str">
            <v>TUBULÃO A.C. Ø=1,40 M PROF.ATÉ 12 M DO LENÇOL FREÁTICO</v>
          </cell>
          <cell r="C201" t="str">
            <v>m</v>
          </cell>
          <cell r="D201" t="str">
            <v>DNER-ES 334/97</v>
          </cell>
          <cell r="E201">
            <v>1696.13</v>
          </cell>
          <cell r="F201">
            <v>554.29999999999995</v>
          </cell>
          <cell r="G201">
            <v>2250.4300000000003</v>
          </cell>
          <cell r="H201" t="str">
            <v>OAE</v>
          </cell>
        </row>
        <row r="202">
          <cell r="A202" t="str">
            <v>03.412.01</v>
          </cell>
          <cell r="B202" t="str">
            <v>ESCAVAÇÃO P/ALARGAMENTO DA BASE TUBULÃO AR COMPRIMIDO</v>
          </cell>
          <cell r="C202" t="str">
            <v>m³</v>
          </cell>
          <cell r="D202" t="str">
            <v>DNER-ES 334/97</v>
          </cell>
          <cell r="E202">
            <v>650.17999999999995</v>
          </cell>
          <cell r="F202">
            <v>212.48</v>
          </cell>
          <cell r="G202">
            <v>862.66</v>
          </cell>
          <cell r="H202" t="str">
            <v>OAE</v>
          </cell>
        </row>
        <row r="203">
          <cell r="A203" t="str">
            <v>03.412.11</v>
          </cell>
          <cell r="B203" t="str">
            <v>FORNECIMENTO, LANÇAMENTO E CONCRETAGEM BASE TUBULÃO DE AR COMPRIMIDO PROF. ATÉ 12M LENÇOL FREÁTICO</v>
          </cell>
          <cell r="C203" t="str">
            <v>m³</v>
          </cell>
          <cell r="D203" t="str">
            <v>DNER-ES 334/97</v>
          </cell>
          <cell r="E203">
            <v>208.77</v>
          </cell>
          <cell r="F203">
            <v>68.23</v>
          </cell>
          <cell r="G203">
            <v>277</v>
          </cell>
          <cell r="H203" t="str">
            <v>OAE</v>
          </cell>
        </row>
        <row r="204">
          <cell r="A204" t="str">
            <v>03.510.00</v>
          </cell>
          <cell r="B204" t="str">
            <v>APARELHO DE APOIO EM NEOPRENE FRETADO</v>
          </cell>
          <cell r="C204" t="str">
            <v>kg</v>
          </cell>
          <cell r="D204" t="str">
            <v>ES-OA-36/96</v>
          </cell>
          <cell r="E204">
            <v>27.86</v>
          </cell>
          <cell r="F204">
            <v>9.1</v>
          </cell>
          <cell r="G204">
            <v>36.96</v>
          </cell>
          <cell r="H204" t="str">
            <v>OAE</v>
          </cell>
        </row>
        <row r="205">
          <cell r="A205" t="str">
            <v>03.700.01</v>
          </cell>
          <cell r="B205" t="str">
            <v>FABRICAÇÃO DE GUARDA CORPO TIPO GM - MOLDADO IN LOCO</v>
          </cell>
          <cell r="C205" t="str">
            <v>m</v>
          </cell>
          <cell r="E205">
            <v>123.51</v>
          </cell>
          <cell r="F205">
            <v>40.36</v>
          </cell>
          <cell r="G205">
            <v>163.87</v>
          </cell>
          <cell r="H205" t="str">
            <v>OAE</v>
          </cell>
        </row>
        <row r="206">
          <cell r="A206" t="str">
            <v>03.920.01</v>
          </cell>
          <cell r="B206" t="str">
            <v>ABERTURA E CONCRETAGEM BASE TUBULÃO A CÉU ABERTO</v>
          </cell>
          <cell r="C206" t="str">
            <v>m³</v>
          </cell>
          <cell r="E206">
            <v>417.25</v>
          </cell>
          <cell r="F206">
            <v>136.36000000000001</v>
          </cell>
          <cell r="G206">
            <v>553.61</v>
          </cell>
          <cell r="H206" t="str">
            <v>OAE</v>
          </cell>
        </row>
        <row r="207">
          <cell r="A207" t="str">
            <v>03.951.01</v>
          </cell>
          <cell r="B207" t="str">
            <v>PINTURA COM NATA DE CIMENTO</v>
          </cell>
          <cell r="C207" t="str">
            <v>m²</v>
          </cell>
          <cell r="E207">
            <v>2.65</v>
          </cell>
          <cell r="F207">
            <v>0.87</v>
          </cell>
          <cell r="G207">
            <v>3.52</v>
          </cell>
          <cell r="H207" t="str">
            <v>OAE</v>
          </cell>
        </row>
        <row r="208">
          <cell r="A208" t="str">
            <v>03.990.02</v>
          </cell>
          <cell r="B208" t="str">
            <v>CONFECÇÃO E COLOCAÇÃO DE CABOS 06 CORDOALHAS D=12,7MM</v>
          </cell>
          <cell r="C208" t="str">
            <v>kg</v>
          </cell>
          <cell r="E208">
            <v>7.05</v>
          </cell>
          <cell r="F208">
            <v>2.2999999999999998</v>
          </cell>
          <cell r="G208">
            <v>9.35</v>
          </cell>
          <cell r="H208" t="str">
            <v>OAE</v>
          </cell>
        </row>
        <row r="209">
          <cell r="A209" t="str">
            <v>03.990.04</v>
          </cell>
          <cell r="B209" t="str">
            <v>CONFECÇÃO E COLOCAÇÃO DE CABOS 12 CORDOALHAS D=12,7MM</v>
          </cell>
          <cell r="C209" t="str">
            <v>kg</v>
          </cell>
          <cell r="E209">
            <v>5.7799999999999994</v>
          </cell>
          <cell r="F209">
            <v>1.89</v>
          </cell>
          <cell r="G209">
            <v>7.669999999999999</v>
          </cell>
          <cell r="H209" t="str">
            <v>OAE</v>
          </cell>
        </row>
        <row r="210">
          <cell r="A210" t="str">
            <v>03.991.02</v>
          </cell>
          <cell r="B210" t="str">
            <v>DRENO DE PVC Ø=100 mm</v>
          </cell>
          <cell r="C210" t="str">
            <v>unid.</v>
          </cell>
          <cell r="D210" t="str">
            <v>ES-OA-36/96</v>
          </cell>
          <cell r="E210">
            <v>5.0199999999999996</v>
          </cell>
          <cell r="F210">
            <v>1.64</v>
          </cell>
          <cell r="G210">
            <v>6.6599999999999993</v>
          </cell>
          <cell r="H210" t="str">
            <v>OAE</v>
          </cell>
        </row>
        <row r="211">
          <cell r="A211" t="str">
            <v>03.999.02</v>
          </cell>
          <cell r="B211" t="str">
            <v>PROTENÇÃO E INJEÇÃO DE CABO 06 CORDOALHAS D=12,7MM</v>
          </cell>
          <cell r="C211" t="str">
            <v>unid.</v>
          </cell>
          <cell r="D211" t="str">
            <v>DNER-ES-332/75/76</v>
          </cell>
          <cell r="E211">
            <v>361.11999999999995</v>
          </cell>
          <cell r="F211">
            <v>118.01</v>
          </cell>
          <cell r="G211">
            <v>479.12999999999994</v>
          </cell>
          <cell r="H211" t="str">
            <v>OAE</v>
          </cell>
        </row>
        <row r="212">
          <cell r="A212" t="str">
            <v>03.999.04</v>
          </cell>
          <cell r="B212" t="str">
            <v>PROTENÇÃO E INJEÇÃO DE CABO 12 CORDOALHAS D=12,7MM</v>
          </cell>
          <cell r="C212" t="str">
            <v>unid.</v>
          </cell>
          <cell r="D212" t="str">
            <v>DNER-ES-332/75/76</v>
          </cell>
          <cell r="E212">
            <v>666.84</v>
          </cell>
          <cell r="F212">
            <v>217.92</v>
          </cell>
          <cell r="G212">
            <v>884.76</v>
          </cell>
          <cell r="H212" t="str">
            <v>OAE</v>
          </cell>
        </row>
        <row r="213">
          <cell r="A213" t="str">
            <v>04.020.00</v>
          </cell>
          <cell r="B213" t="str">
            <v>ESCAVAÇÃO EM VALA MATERIAL DE 3a CATEGORIA</v>
          </cell>
          <cell r="C213" t="str">
            <v>m³</v>
          </cell>
          <cell r="D213" t="str">
            <v>DNER-ES 280/97</v>
          </cell>
          <cell r="E213">
            <v>27.6</v>
          </cell>
          <cell r="F213">
            <v>9.02</v>
          </cell>
          <cell r="G213">
            <v>36.620000000000005</v>
          </cell>
          <cell r="H213" t="str">
            <v>OAE</v>
          </cell>
        </row>
        <row r="214">
          <cell r="A214" t="str">
            <v>05.303.01</v>
          </cell>
          <cell r="B214" t="str">
            <v>TERRA ARMADA - ECE - GREIDE 0,0&lt;H&lt;6,0M TIPO RETA E CURVA ÂNGULO 15°</v>
          </cell>
          <cell r="C214" t="str">
            <v>m²</v>
          </cell>
          <cell r="E214">
            <v>185.45</v>
          </cell>
          <cell r="F214">
            <v>60.61</v>
          </cell>
          <cell r="G214">
            <v>246.06</v>
          </cell>
          <cell r="H214" t="str">
            <v>OAE</v>
          </cell>
        </row>
        <row r="215">
          <cell r="A215" t="str">
            <v>05.303.02</v>
          </cell>
          <cell r="B215" t="str">
            <v>TERRA ARMADA - ECE - GREIDE 6,0&lt;H&lt;9,0M TIPO RETA E CURVA ÂNGULO 15°</v>
          </cell>
          <cell r="C215" t="str">
            <v>m²</v>
          </cell>
          <cell r="E215">
            <v>208.06</v>
          </cell>
          <cell r="F215">
            <v>67.989999999999995</v>
          </cell>
          <cell r="G215">
            <v>276.05</v>
          </cell>
          <cell r="H215" t="str">
            <v>OAE</v>
          </cell>
        </row>
        <row r="216">
          <cell r="A216" t="str">
            <v>05.303.07</v>
          </cell>
          <cell r="B216" t="str">
            <v>TERRA ARMADA - ECE - ENC. PORTANTE 0,0&lt;H&lt;6,0M TIPO RETA</v>
          </cell>
          <cell r="C216" t="str">
            <v>m²</v>
          </cell>
          <cell r="E216">
            <v>300</v>
          </cell>
          <cell r="F216">
            <v>98.04</v>
          </cell>
          <cell r="G216">
            <v>398.04</v>
          </cell>
          <cell r="H216" t="str">
            <v>OAE</v>
          </cell>
        </row>
        <row r="217">
          <cell r="A217" t="str">
            <v>05.303.08</v>
          </cell>
          <cell r="B217" t="str">
            <v>TERRA ARMADA - ECE - ENC. PORTANTE 6,0&lt;H&lt;9,0M TIPO RETA</v>
          </cell>
          <cell r="C217" t="str">
            <v>m²</v>
          </cell>
          <cell r="E217">
            <v>339.78</v>
          </cell>
          <cell r="F217">
            <v>111.04</v>
          </cell>
          <cell r="G217">
            <v>450.82</v>
          </cell>
          <cell r="H217" t="str">
            <v>OAE</v>
          </cell>
        </row>
        <row r="218">
          <cell r="A218" t="str">
            <v>05.303.09</v>
          </cell>
          <cell r="B218" t="str">
            <v>ESCAMAS DE CONCRETO ARMADO PARA TERRA ARMADA</v>
          </cell>
          <cell r="C218" t="str">
            <v>m³</v>
          </cell>
          <cell r="D218" t="str">
            <v>DNER-ES 330/97</v>
          </cell>
          <cell r="E218">
            <v>368.33000000000004</v>
          </cell>
          <cell r="F218">
            <v>120.37</v>
          </cell>
          <cell r="G218">
            <v>488.70000000000005</v>
          </cell>
          <cell r="H218" t="str">
            <v>OAE</v>
          </cell>
        </row>
        <row r="219">
          <cell r="A219" t="str">
            <v>05.303.10</v>
          </cell>
          <cell r="B219" t="str">
            <v>CONCRETAGEM DE SOLEIRA E ARREMATES DE MACIÇO TERRA ARMADA</v>
          </cell>
          <cell r="C219" t="str">
            <v>m³</v>
          </cell>
          <cell r="D219" t="str">
            <v>DNER-ES 330/97</v>
          </cell>
          <cell r="E219">
            <v>200.25</v>
          </cell>
          <cell r="F219">
            <v>65.44</v>
          </cell>
          <cell r="G219">
            <v>265.69</v>
          </cell>
          <cell r="H219" t="str">
            <v>OAE</v>
          </cell>
        </row>
        <row r="220">
          <cell r="A220" t="str">
            <v>05.303.11</v>
          </cell>
          <cell r="B220" t="str">
            <v>MONTAGEM DE MACIÇO TERRA ARMADA</v>
          </cell>
          <cell r="C220" t="str">
            <v>m²</v>
          </cell>
          <cell r="D220" t="str">
            <v>DNER-ES 282/97</v>
          </cell>
          <cell r="E220">
            <v>38.22</v>
          </cell>
          <cell r="F220">
            <v>12.49</v>
          </cell>
          <cell r="G220">
            <v>50.71</v>
          </cell>
          <cell r="H220" t="str">
            <v>OAE</v>
          </cell>
        </row>
        <row r="221">
          <cell r="A221" t="str">
            <v>06.030.11</v>
          </cell>
          <cell r="B221" t="str">
            <v>BARREIRA DE SEGURANÇA TIPO NEW JERSEY</v>
          </cell>
          <cell r="C221" t="str">
            <v>m</v>
          </cell>
          <cell r="D221" t="str">
            <v>DNER-ES 340/97</v>
          </cell>
          <cell r="E221">
            <v>149.81</v>
          </cell>
          <cell r="F221">
            <v>48.96</v>
          </cell>
          <cell r="G221">
            <v>198.77</v>
          </cell>
          <cell r="H221" t="str">
            <v>OAE</v>
          </cell>
        </row>
        <row r="222">
          <cell r="A222" t="str">
            <v>OUTROS CÓDIGOS</v>
          </cell>
        </row>
        <row r="223">
          <cell r="A223" t="str">
            <v>10.000.05</v>
          </cell>
          <cell r="B223" t="str">
            <v>PAVIMENTAÇÃO EM CBUQ</v>
          </cell>
          <cell r="C223" t="str">
            <v>m³</v>
          </cell>
          <cell r="D223" t="str">
            <v>EC-02</v>
          </cell>
          <cell r="E223">
            <v>57.38</v>
          </cell>
          <cell r="F223">
            <v>18.75</v>
          </cell>
          <cell r="G223">
            <v>76.13</v>
          </cell>
          <cell r="H223" t="str">
            <v>OAE</v>
          </cell>
        </row>
        <row r="224">
          <cell r="A224" t="str">
            <v>10.000.03</v>
          </cell>
          <cell r="B224" t="str">
            <v>CIMBRAMENTO</v>
          </cell>
          <cell r="C224" t="str">
            <v>m³</v>
          </cell>
          <cell r="D224" t="str">
            <v>DNER-ES 286/97</v>
          </cell>
          <cell r="E224">
            <v>41.149999999999991</v>
          </cell>
          <cell r="F224">
            <v>13.45</v>
          </cell>
          <cell r="G224">
            <v>54.599999999999994</v>
          </cell>
          <cell r="H224" t="str">
            <v>OAE</v>
          </cell>
        </row>
        <row r="225">
          <cell r="A225" t="str">
            <v>10.000.46</v>
          </cell>
          <cell r="B225" t="str">
            <v>CARGA, TRANSPORTE, IÇAMENTO E LANÇAMENTO DE LAJE PRÉ-MOLDADA ATÉ 3,0T</v>
          </cell>
          <cell r="C225" t="str">
            <v>unid.</v>
          </cell>
          <cell r="E225">
            <v>21.16</v>
          </cell>
          <cell r="F225">
            <v>6.92</v>
          </cell>
          <cell r="G225">
            <v>28.08</v>
          </cell>
          <cell r="H225" t="str">
            <v>OAE</v>
          </cell>
        </row>
        <row r="226">
          <cell r="A226" t="str">
            <v>10.000.47</v>
          </cell>
          <cell r="B226" t="str">
            <v>CARGA, TRANSPORTE, IÇAMENTO E LANÇAMENTO DE LAJE PRÉ-MOLDADA ATÉ 55,0T</v>
          </cell>
          <cell r="C226" t="str">
            <v>unid.</v>
          </cell>
          <cell r="E226">
            <v>407.22</v>
          </cell>
          <cell r="F226">
            <v>133.08000000000001</v>
          </cell>
          <cell r="G226">
            <v>540.30000000000007</v>
          </cell>
          <cell r="H226" t="str">
            <v>OAE</v>
          </cell>
        </row>
        <row r="227">
          <cell r="A227" t="str">
            <v>10.400.11</v>
          </cell>
          <cell r="B227" t="str">
            <v>COLCHÃO DRENANTE C/PEDRA-DE-MÃO P/CORTE EM ROCHA</v>
          </cell>
          <cell r="C227" t="str">
            <v>m³</v>
          </cell>
          <cell r="D227" t="str">
            <v>EC-03</v>
          </cell>
          <cell r="E227">
            <v>68.550000000000011</v>
          </cell>
          <cell r="F227">
            <v>22.4</v>
          </cell>
          <cell r="G227">
            <v>90.950000000000017</v>
          </cell>
          <cell r="H227" t="str">
            <v>Drenagem</v>
          </cell>
        </row>
        <row r="228">
          <cell r="A228" t="str">
            <v>10.200.02</v>
          </cell>
          <cell r="B228" t="str">
            <v>BASE DE SOLO CIMENTO C/MISTURA NA PISTA C/RECICLADORA</v>
          </cell>
          <cell r="C228" t="str">
            <v>m³</v>
          </cell>
          <cell r="D228" t="str">
            <v>DNER-ES-305/97</v>
          </cell>
          <cell r="E228">
            <v>74.239999999999995</v>
          </cell>
          <cell r="F228">
            <v>24.26</v>
          </cell>
          <cell r="G228">
            <v>98.5</v>
          </cell>
          <cell r="H228" t="str">
            <v>Pavimentação</v>
          </cell>
        </row>
        <row r="229">
          <cell r="A229" t="str">
            <v>10.200.03</v>
          </cell>
          <cell r="B229" t="str">
            <v>SUB-BASE DE SOLO MELHORADO C/CIMENTO MISTURA NA PISTA C/RECICLADORA</v>
          </cell>
          <cell r="C229" t="str">
            <v>m³</v>
          </cell>
          <cell r="D229" t="str">
            <v>DNER-ES-302/97</v>
          </cell>
          <cell r="E229">
            <v>51.94</v>
          </cell>
          <cell r="F229">
            <v>16.97</v>
          </cell>
          <cell r="G229">
            <v>68.91</v>
          </cell>
          <cell r="H229" t="str">
            <v>Pavimentação</v>
          </cell>
        </row>
        <row r="230">
          <cell r="A230" t="str">
            <v>10.300.15</v>
          </cell>
          <cell r="B230" t="str">
            <v>PINTURA EM SUPER CONSERVADO P</v>
          </cell>
          <cell r="C230" t="str">
            <v>m²</v>
          </cell>
          <cell r="E230">
            <v>12.61</v>
          </cell>
          <cell r="F230">
            <v>4.12</v>
          </cell>
          <cell r="G230">
            <v>16.73</v>
          </cell>
          <cell r="H230" t="str">
            <v>OAE</v>
          </cell>
        </row>
        <row r="231">
          <cell r="A231" t="str">
            <v>10.300.25</v>
          </cell>
          <cell r="B231" t="str">
            <v>FORNECIMENTO CORTE E COLOCAÇÃO DE 12Ø12,7 - AÇO CP-190 RB</v>
          </cell>
          <cell r="C231" t="str">
            <v>kg</v>
          </cell>
          <cell r="D231" t="str">
            <v>DNER-ES-332/75/76</v>
          </cell>
          <cell r="E231">
            <v>5.0599999999999996</v>
          </cell>
          <cell r="F231">
            <v>1.65</v>
          </cell>
          <cell r="G231">
            <v>6.7099999999999991</v>
          </cell>
          <cell r="H231" t="str">
            <v>OAE</v>
          </cell>
        </row>
        <row r="232">
          <cell r="A232" t="str">
            <v>10.300.26</v>
          </cell>
          <cell r="B232" t="str">
            <v>PROTENSÃO E ANCORAGEM ATIVA PARA 120Ø12,7MM</v>
          </cell>
          <cell r="C232" t="str">
            <v>unid.</v>
          </cell>
          <cell r="D232" t="str">
            <v>DNER-ES-332/75/76</v>
          </cell>
          <cell r="E232">
            <v>548.67999999999995</v>
          </cell>
          <cell r="F232">
            <v>179.31</v>
          </cell>
          <cell r="G232">
            <v>727.99</v>
          </cell>
          <cell r="H232" t="str">
            <v>OAE</v>
          </cell>
        </row>
        <row r="233">
          <cell r="A233" t="str">
            <v>10.300.27</v>
          </cell>
          <cell r="B233" t="str">
            <v>FORNECIMENTO E COLOCAÇÃO DE BAINHAS CORRUGADAS Ø 70MM E INJEÇÃO DE NATA DE CIMENTO</v>
          </cell>
          <cell r="C233" t="str">
            <v>m</v>
          </cell>
          <cell r="D233" t="str">
            <v>DNER-ES-332/75/76</v>
          </cell>
          <cell r="E233">
            <v>87.100000000000009</v>
          </cell>
          <cell r="F233">
            <v>28.46</v>
          </cell>
          <cell r="G233">
            <v>115.56</v>
          </cell>
          <cell r="H233" t="str">
            <v>OAE</v>
          </cell>
        </row>
        <row r="234">
          <cell r="A234" t="str">
            <v>10.300.30</v>
          </cell>
          <cell r="B234" t="str">
            <v>EXECUÇÃO DE SONDAGEM A PERCUSSÃO</v>
          </cell>
          <cell r="C234" t="str">
            <v>m</v>
          </cell>
          <cell r="D234" t="str">
            <v>DNER-ES-334/97</v>
          </cell>
          <cell r="E234">
            <v>52</v>
          </cell>
          <cell r="F234">
            <v>16.989999999999998</v>
          </cell>
          <cell r="G234">
            <v>68.989999999999995</v>
          </cell>
          <cell r="H234" t="str">
            <v>OAE</v>
          </cell>
        </row>
        <row r="235">
          <cell r="A235" t="str">
            <v>10.300.31</v>
          </cell>
          <cell r="B235" t="str">
            <v>MOBILIZAÇÃO, INSTALAÇÃO E DESMOBILIZAÇÃO DE EQUIPAMENTO P/EXECUÇÃO DE SONDAGENS</v>
          </cell>
          <cell r="C235" t="str">
            <v>unid.</v>
          </cell>
          <cell r="D235" t="str">
            <v>DNER-ES-334/97</v>
          </cell>
          <cell r="E235">
            <v>1300</v>
          </cell>
          <cell r="F235">
            <v>424.84</v>
          </cell>
          <cell r="G235">
            <v>1724.84</v>
          </cell>
          <cell r="H235" t="str">
            <v>OAE</v>
          </cell>
        </row>
        <row r="236">
          <cell r="A236" t="str">
            <v>10.300.32</v>
          </cell>
          <cell r="B236" t="str">
            <v>DETALHAMENTO DO PROJETO</v>
          </cell>
          <cell r="C236" t="str">
            <v>m²</v>
          </cell>
          <cell r="D236" t="str">
            <v>EP-OAE 01</v>
          </cell>
          <cell r="E236">
            <v>20</v>
          </cell>
          <cell r="F236">
            <v>6.54</v>
          </cell>
          <cell r="G236">
            <v>26.54</v>
          </cell>
          <cell r="H236" t="str">
            <v>OAE</v>
          </cell>
        </row>
        <row r="237">
          <cell r="A237" t="str">
            <v>10.300.33</v>
          </cell>
          <cell r="B237" t="str">
            <v>GROUT</v>
          </cell>
          <cell r="C237" t="str">
            <v>kg</v>
          </cell>
          <cell r="E237">
            <v>7.81</v>
          </cell>
          <cell r="F237">
            <v>2.5499999999999998</v>
          </cell>
          <cell r="G237">
            <v>10.36</v>
          </cell>
          <cell r="H237" t="str">
            <v>OAE</v>
          </cell>
        </row>
        <row r="238">
          <cell r="A238" t="str">
            <v>10.300.34</v>
          </cell>
          <cell r="B238" t="str">
            <v>BARREIRA DE CONCRETO, INCL. MÃO DE OBRA E MATERIAL</v>
          </cell>
          <cell r="C238" t="str">
            <v>m</v>
          </cell>
          <cell r="D238" t="str">
            <v>DNER-ES-335/97</v>
          </cell>
          <cell r="E238">
            <v>70.09</v>
          </cell>
          <cell r="F238">
            <v>22.91</v>
          </cell>
          <cell r="G238">
            <v>93</v>
          </cell>
          <cell r="H238" t="str">
            <v>OAE</v>
          </cell>
        </row>
        <row r="239">
          <cell r="A239" t="str">
            <v>10.300.47</v>
          </cell>
          <cell r="B239" t="str">
            <v>DRENO DE FERRO GALVANIZADO 2"</v>
          </cell>
          <cell r="C239" t="str">
            <v>unid.</v>
          </cell>
          <cell r="D239" t="str">
            <v>ES-OA-36/96</v>
          </cell>
          <cell r="E239">
            <v>8.48</v>
          </cell>
          <cell r="F239">
            <v>2.77</v>
          </cell>
          <cell r="G239">
            <v>11.25</v>
          </cell>
          <cell r="H239" t="str">
            <v>OAE</v>
          </cell>
        </row>
        <row r="240">
          <cell r="A240" t="str">
            <v>10.500.38</v>
          </cell>
          <cell r="B240" t="str">
            <v>REMOÇÃO DE CERCAS DE ARAME FARPADO</v>
          </cell>
          <cell r="C240" t="str">
            <v>m</v>
          </cell>
          <cell r="D240" t="str">
            <v>DNER-ES 338/97</v>
          </cell>
          <cell r="E240">
            <v>2.54</v>
          </cell>
          <cell r="F240">
            <v>0.83</v>
          </cell>
          <cell r="G240">
            <v>3.37</v>
          </cell>
          <cell r="H240" t="str">
            <v>Obras Comp.</v>
          </cell>
        </row>
        <row r="241">
          <cell r="A241" t="str">
            <v>10.500.39</v>
          </cell>
          <cell r="B241" t="str">
            <v>MANTA GEOTEXTIL P/REFORÇO DE FUNDAÃO DE ATERRO</v>
          </cell>
          <cell r="C241" t="str">
            <v>m²</v>
          </cell>
          <cell r="E241">
            <v>3.5100000000000002</v>
          </cell>
          <cell r="F241">
            <v>1.1499999999999999</v>
          </cell>
          <cell r="G241">
            <v>4.66</v>
          </cell>
          <cell r="H241" t="str">
            <v>Obras Comp.</v>
          </cell>
        </row>
        <row r="242">
          <cell r="A242" t="str">
            <v>10.500.40</v>
          </cell>
          <cell r="B242" t="str">
            <v>GEOFORMA TÊXTIL TIPO BOLSACRETO BC - 200 kg DE CIMENTO/m3</v>
          </cell>
          <cell r="C242" t="str">
            <v>m³</v>
          </cell>
          <cell r="D242" t="str">
            <v>EC-01</v>
          </cell>
          <cell r="E242">
            <v>51.69</v>
          </cell>
          <cell r="F242">
            <v>16.89</v>
          </cell>
          <cell r="G242">
            <v>68.58</v>
          </cell>
          <cell r="H242" t="str">
            <v>OAE</v>
          </cell>
        </row>
        <row r="243">
          <cell r="A243" t="str">
            <v>10.500.41</v>
          </cell>
          <cell r="B243" t="str">
            <v>GEOFORMA TÊXTIL TIPO COLCHACRETO A-15 - 200 kg DE CIMENTO/m3</v>
          </cell>
          <cell r="C243" t="str">
            <v>m²</v>
          </cell>
          <cell r="D243" t="str">
            <v>EC-01</v>
          </cell>
          <cell r="E243">
            <v>28.94</v>
          </cell>
          <cell r="F243">
            <v>9.4600000000000009</v>
          </cell>
          <cell r="G243">
            <v>38.400000000000006</v>
          </cell>
          <cell r="H243" t="str">
            <v>OAE</v>
          </cell>
        </row>
        <row r="244">
          <cell r="A244" t="str">
            <v>10.550.19</v>
          </cell>
          <cell r="B244" t="str">
            <v>MANTA VEGETAL</v>
          </cell>
          <cell r="C244" t="str">
            <v>m²</v>
          </cell>
          <cell r="D244" t="str">
            <v>EC-PCE-03</v>
          </cell>
          <cell r="E244">
            <v>2.62</v>
          </cell>
          <cell r="F244">
            <v>0.86</v>
          </cell>
          <cell r="G244">
            <v>3.48</v>
          </cell>
          <cell r="H244" t="str">
            <v>OAE</v>
          </cell>
        </row>
        <row r="245">
          <cell r="A245" t="str">
            <v>10.550.20</v>
          </cell>
          <cell r="B245" t="str">
            <v>SEMEADURA MANUAL</v>
          </cell>
          <cell r="C245" t="str">
            <v>m²</v>
          </cell>
          <cell r="D245" t="str">
            <v>DNER-ES-341/97</v>
          </cell>
          <cell r="E245">
            <v>1.04</v>
          </cell>
          <cell r="F245">
            <v>0.34</v>
          </cell>
          <cell r="G245">
            <v>1.3800000000000001</v>
          </cell>
          <cell r="H245" t="str">
            <v>Meio Ambiente</v>
          </cell>
        </row>
        <row r="246">
          <cell r="A246" t="str">
            <v>10.600.10</v>
          </cell>
          <cell r="B246" t="str">
            <v>FORNECIMENTO E LANÇAMENTO DE ARGAMASSA ESTRUT. SIKAGROUT TIX C/ADIÇÃO DE 30% DE PEDRISCO P/EXEC. DE CALÇOS E BERÇOS DE APOIOS</v>
          </cell>
          <cell r="C246" t="str">
            <v>m³</v>
          </cell>
          <cell r="E246">
            <v>1586.14</v>
          </cell>
          <cell r="F246">
            <v>518.35</v>
          </cell>
          <cell r="G246">
            <v>2104.4900000000002</v>
          </cell>
          <cell r="H246" t="str">
            <v>OAE</v>
          </cell>
        </row>
        <row r="247">
          <cell r="A247" t="str">
            <v>10.600.30</v>
          </cell>
          <cell r="B247" t="str">
            <v>FORNECIMENTO, CORTE E COLOCAÇÃO DE 4 Ø 15,2mm - AÇO CP-190 RB</v>
          </cell>
          <cell r="C247" t="str">
            <v>kg</v>
          </cell>
          <cell r="E247">
            <v>4.4399999999999995</v>
          </cell>
          <cell r="F247">
            <v>1.45</v>
          </cell>
          <cell r="G247">
            <v>5.89</v>
          </cell>
          <cell r="H247" t="str">
            <v>OAE</v>
          </cell>
        </row>
        <row r="248">
          <cell r="A248" t="str">
            <v>10.600.32</v>
          </cell>
          <cell r="B248" t="str">
            <v>PROTENSÃO E ANCORAGEM ATIVA PARA 4 Ø 15,2MM</v>
          </cell>
          <cell r="C248" t="str">
            <v>unid.</v>
          </cell>
          <cell r="E248">
            <v>125.68</v>
          </cell>
          <cell r="F248">
            <v>41.07</v>
          </cell>
          <cell r="G248">
            <v>166.75</v>
          </cell>
          <cell r="H248" t="str">
            <v>OAE</v>
          </cell>
        </row>
        <row r="249">
          <cell r="A249" t="str">
            <v>10.600.34</v>
          </cell>
          <cell r="B249" t="str">
            <v>FORNECIMENTOE COLOCAÇÃO DE BAINHAS CORRUGADAS Ø 45MM E INJEÇÃO DE NATA DE CIMENTO</v>
          </cell>
          <cell r="C249" t="str">
            <v>m</v>
          </cell>
          <cell r="E249">
            <v>82.09</v>
          </cell>
          <cell r="F249">
            <v>26.83</v>
          </cell>
          <cell r="G249">
            <v>108.92</v>
          </cell>
          <cell r="H249" t="str">
            <v>OAE</v>
          </cell>
        </row>
        <row r="250">
          <cell r="A250" t="str">
            <v>10.600.25</v>
          </cell>
          <cell r="B250" t="str">
            <v>FORNECIMENTO, CORTE E COLOCAÇÃO DE 12 Ø 15,2mm - AÇO CP-190 RB</v>
          </cell>
          <cell r="C250" t="str">
            <v>kg</v>
          </cell>
          <cell r="E250">
            <v>4.4399999999999995</v>
          </cell>
          <cell r="F250">
            <v>1.45</v>
          </cell>
          <cell r="G250">
            <v>5.89</v>
          </cell>
          <cell r="H250" t="str">
            <v>OAE</v>
          </cell>
        </row>
        <row r="251">
          <cell r="A251" t="str">
            <v>10.600.26</v>
          </cell>
          <cell r="B251" t="str">
            <v>PROTENSÃO E ANCORAGEM ATIVA PARA 12 Ø 15,2MM</v>
          </cell>
          <cell r="C251" t="str">
            <v>unid.</v>
          </cell>
          <cell r="E251">
            <v>423.68</v>
          </cell>
          <cell r="F251">
            <v>138.46</v>
          </cell>
          <cell r="G251">
            <v>562.14</v>
          </cell>
          <cell r="H251" t="str">
            <v>OAE</v>
          </cell>
        </row>
        <row r="252">
          <cell r="A252" t="str">
            <v>10.600.27</v>
          </cell>
          <cell r="B252" t="str">
            <v>FORNECIMENTOE COLOCAÇÃO DE BAINHAS CORRUGADAS Ø 70MM E INJEÇÃO DE NATA DE CIMENTO</v>
          </cell>
          <cell r="C252" t="str">
            <v>m</v>
          </cell>
          <cell r="E252">
            <v>84.490000000000009</v>
          </cell>
          <cell r="F252">
            <v>27.61</v>
          </cell>
          <cell r="G252">
            <v>112.10000000000001</v>
          </cell>
          <cell r="H252" t="str">
            <v>OAE</v>
          </cell>
        </row>
        <row r="253">
          <cell r="A253" t="str">
            <v>10.600.28</v>
          </cell>
          <cell r="B253" t="str">
            <v>TRANSPORTE, LANÇAMENTO E POSICIONAMENTO DE PRÉ-LAJE DE CONCRETO ARMADO</v>
          </cell>
          <cell r="C253" t="str">
            <v>unid.</v>
          </cell>
          <cell r="E253">
            <v>86.37</v>
          </cell>
          <cell r="F253">
            <v>28.23</v>
          </cell>
          <cell r="G253">
            <v>114.60000000000001</v>
          </cell>
          <cell r="H253" t="str">
            <v>OAE</v>
          </cell>
        </row>
        <row r="254">
          <cell r="A254" t="str">
            <v>10.600.29</v>
          </cell>
          <cell r="B254" t="str">
            <v>FORNECIMENTO E COLOCAÇÃO DE JUNTA DE PAVIMENTO TIPO JEENE - JJ5070</v>
          </cell>
          <cell r="C254" t="str">
            <v>m</v>
          </cell>
          <cell r="E254">
            <v>163.41999999999999</v>
          </cell>
          <cell r="F254">
            <v>53.41</v>
          </cell>
          <cell r="G254">
            <v>216.82999999999998</v>
          </cell>
          <cell r="H254" t="str">
            <v>OAE</v>
          </cell>
        </row>
        <row r="255">
          <cell r="A255" t="str">
            <v>10.600.35</v>
          </cell>
          <cell r="B255" t="str">
            <v>EXECUÇÃO DE ESTACAS ESCAVADAS DIAM=1,20M, C/LAMA BETONÍTICA, INCL. ESCAVAÇÃO E MATERIAIS</v>
          </cell>
          <cell r="C255" t="str">
            <v>m</v>
          </cell>
          <cell r="D255" t="str">
            <v>DNER-ES 334/97</v>
          </cell>
          <cell r="E255">
            <v>250.82</v>
          </cell>
          <cell r="F255">
            <v>81.97</v>
          </cell>
          <cell r="G255">
            <v>332.78999999999996</v>
          </cell>
          <cell r="H255" t="str">
            <v>OAE</v>
          </cell>
        </row>
        <row r="256">
          <cell r="A256" t="str">
            <v>10.600.36</v>
          </cell>
          <cell r="B256" t="str">
            <v>EXECUÇÃO DE ESTACAS ESCAVADAS DIAM=1,50M, C/LAMA BETONÍTICA, INCL. ESCAVAÇÃO E MATERIAIS</v>
          </cell>
          <cell r="C256" t="str">
            <v>m</v>
          </cell>
          <cell r="D256" t="str">
            <v>DNER-ES 334/97</v>
          </cell>
          <cell r="E256">
            <v>374.74</v>
          </cell>
          <cell r="F256">
            <v>122.47</v>
          </cell>
          <cell r="G256">
            <v>497.21000000000004</v>
          </cell>
          <cell r="H256" t="str">
            <v>OAE</v>
          </cell>
        </row>
        <row r="260">
          <cell r="A260" t="str">
            <v>TRANSPORTES</v>
          </cell>
        </row>
        <row r="261">
          <cell r="A261" t="str">
            <v>A.00.001.05</v>
          </cell>
          <cell r="B261" t="str">
            <v>BASC. 10M3 LOCAL ÑPAV - CONSTRUÇÃO</v>
          </cell>
          <cell r="C261" t="str">
            <v>tkm</v>
          </cell>
          <cell r="E261">
            <v>0.23</v>
          </cell>
          <cell r="F261" t="str">
            <v>R. SUL</v>
          </cell>
          <cell r="G261">
            <v>37257</v>
          </cell>
          <cell r="H261" t="str">
            <v>Transportes</v>
          </cell>
        </row>
        <row r="262">
          <cell r="A262" t="str">
            <v>A.00.001.40</v>
          </cell>
          <cell r="B262" t="str">
            <v>CARROC. 15T LOCAL ÑPAV - GERAL</v>
          </cell>
          <cell r="C262" t="str">
            <v>tkm</v>
          </cell>
          <cell r="E262">
            <v>0.3</v>
          </cell>
          <cell r="F262" t="str">
            <v>R. SUL</v>
          </cell>
          <cell r="G262">
            <v>37257</v>
          </cell>
          <cell r="H262" t="str">
            <v>Transportes</v>
          </cell>
        </row>
        <row r="263">
          <cell r="A263" t="str">
            <v>A.00.001.90</v>
          </cell>
          <cell r="B263" t="str">
            <v>CARROC. 15T COM. ÑPAV - GERAL</v>
          </cell>
          <cell r="C263" t="str">
            <v>tkm</v>
          </cell>
          <cell r="D263" t="str">
            <v/>
          </cell>
          <cell r="E263">
            <v>0.17</v>
          </cell>
          <cell r="F263" t="str">
            <v>R. SUL</v>
          </cell>
          <cell r="G263">
            <v>37257</v>
          </cell>
          <cell r="H263" t="str">
            <v>Transportes</v>
          </cell>
        </row>
        <row r="264">
          <cell r="A264" t="str">
            <v>A.00.001.91</v>
          </cell>
          <cell r="B264" t="str">
            <v>BASC. 10m3 COM. ÑPAV - CONSTRUÇÃO</v>
          </cell>
          <cell r="C264" t="str">
            <v>tkm</v>
          </cell>
          <cell r="E264">
            <v>0.17</v>
          </cell>
          <cell r="F264" t="str">
            <v>R. SUL</v>
          </cell>
          <cell r="G264">
            <v>37257</v>
          </cell>
          <cell r="H264" t="str">
            <v>Transportes</v>
          </cell>
        </row>
        <row r="265">
          <cell r="A265" t="str">
            <v>A.00.002.05</v>
          </cell>
          <cell r="B265" t="str">
            <v>BASC. 10M3 COM. PAV - CONSTRUÇÃO</v>
          </cell>
          <cell r="C265" t="str">
            <v>tkm</v>
          </cell>
          <cell r="E265">
            <v>0.11</v>
          </cell>
          <cell r="F265" t="str">
            <v>R. SUL</v>
          </cell>
          <cell r="G265">
            <v>37257</v>
          </cell>
          <cell r="H265" t="str">
            <v>Transportes</v>
          </cell>
        </row>
        <row r="266">
          <cell r="A266" t="str">
            <v>A.00.002.40</v>
          </cell>
          <cell r="B266" t="str">
            <v>CARROC. 15T-PAV-LOCAL - GERAL</v>
          </cell>
          <cell r="C266" t="str">
            <v>tkm</v>
          </cell>
          <cell r="E266">
            <v>0.22</v>
          </cell>
          <cell r="F266" t="str">
            <v>R. SUL</v>
          </cell>
          <cell r="G266">
            <v>37257</v>
          </cell>
          <cell r="H266" t="str">
            <v>Transportes</v>
          </cell>
        </row>
        <row r="267">
          <cell r="A267" t="str">
            <v>A.00.002.90</v>
          </cell>
          <cell r="B267" t="str">
            <v>CARROC. 15T-PAV-COM - GERAL</v>
          </cell>
          <cell r="C267" t="str">
            <v>tkm</v>
          </cell>
          <cell r="E267">
            <v>0.11</v>
          </cell>
          <cell r="F267" t="str">
            <v>R. SUL</v>
          </cell>
          <cell r="G267">
            <v>37257</v>
          </cell>
          <cell r="H267" t="str">
            <v>Transportes</v>
          </cell>
        </row>
        <row r="268">
          <cell r="A268" t="str">
            <v>A.00.002.91</v>
          </cell>
          <cell r="B268" t="str">
            <v>BASC. 10m3 COM PAV - GERAL</v>
          </cell>
          <cell r="C268" t="str">
            <v>tkm</v>
          </cell>
          <cell r="E268">
            <v>0.11</v>
          </cell>
          <cell r="F268" t="str">
            <v>R. SUL</v>
          </cell>
          <cell r="G268">
            <v>37257</v>
          </cell>
          <cell r="H268" t="str">
            <v>Transportes</v>
          </cell>
        </row>
        <row r="269">
          <cell r="A269" t="str">
            <v>A.00.102.00</v>
          </cell>
          <cell r="B269" t="str">
            <v>BASC. PARA MISTURA BETUMINOSA</v>
          </cell>
          <cell r="C269" t="str">
            <v>tkm</v>
          </cell>
          <cell r="E269">
            <v>0.48</v>
          </cell>
          <cell r="F269" t="str">
            <v>R. SUL</v>
          </cell>
          <cell r="G269">
            <v>37257</v>
          </cell>
          <cell r="H269" t="str">
            <v>Transportes</v>
          </cell>
        </row>
        <row r="270">
          <cell r="A270" t="str">
            <v>A.00.112.90</v>
          </cell>
          <cell r="B270" t="str">
            <v>CARRETA TANQUE A QUENTE</v>
          </cell>
          <cell r="C270" t="str">
            <v>tkm</v>
          </cell>
          <cell r="H270" t="str">
            <v>Transportes</v>
          </cell>
        </row>
        <row r="271">
          <cell r="A271" t="str">
            <v>A.00.112.91</v>
          </cell>
          <cell r="B271" t="str">
            <v>CARRETA TANQUE CONVENCIONAL</v>
          </cell>
          <cell r="C271" t="str">
            <v>tkm</v>
          </cell>
          <cell r="H271" t="str">
            <v>Transportes</v>
          </cell>
        </row>
        <row r="272">
          <cell r="A272" t="str">
            <v>CUSTOS BÁSICOS</v>
          </cell>
        </row>
        <row r="273">
          <cell r="A273" t="str">
            <v>A.01.100.01</v>
          </cell>
          <cell r="B273" t="str">
            <v>LIMPEZA CAMADA VEGETAL EM JAZIDA</v>
          </cell>
          <cell r="C273" t="str">
            <v>m²</v>
          </cell>
          <cell r="E273">
            <v>0.16</v>
          </cell>
          <cell r="H273" t="str">
            <v>Custos Básicos</v>
          </cell>
        </row>
        <row r="274">
          <cell r="A274" t="str">
            <v>A.01.105.01</v>
          </cell>
          <cell r="B274" t="str">
            <v>EXPURGO DE JAZIDA</v>
          </cell>
          <cell r="C274" t="str">
            <v>m³</v>
          </cell>
          <cell r="E274">
            <v>0.87</v>
          </cell>
          <cell r="H274" t="str">
            <v>Custos Básicos</v>
          </cell>
        </row>
        <row r="275">
          <cell r="A275" t="str">
            <v>A.01.120.01</v>
          </cell>
          <cell r="B275" t="str">
            <v>ESCAVAÇÃO E CARGA DE MATERIAL DE JAZIDA</v>
          </cell>
          <cell r="C275" t="str">
            <v>m³</v>
          </cell>
          <cell r="E275">
            <v>2.2999999999999998</v>
          </cell>
          <cell r="H275" t="str">
            <v>Custos Básicos</v>
          </cell>
        </row>
        <row r="276">
          <cell r="A276" t="str">
            <v>A.01.150.02</v>
          </cell>
          <cell r="B276" t="str">
            <v>ROCHA P/BRITAGEM C/PERFURATRIZ MANUAL</v>
          </cell>
          <cell r="C276" t="str">
            <v>m³</v>
          </cell>
          <cell r="E276">
            <v>14</v>
          </cell>
          <cell r="H276" t="str">
            <v>Custos Básicos</v>
          </cell>
        </row>
        <row r="277">
          <cell r="A277" t="str">
            <v>A.01.155.02</v>
          </cell>
          <cell r="B277" t="str">
            <v>RACHÃO P/COLCHÃO DRENANTE EM REBAIXO DE ROCHA</v>
          </cell>
          <cell r="C277" t="str">
            <v>m³</v>
          </cell>
          <cell r="E277">
            <v>10.7</v>
          </cell>
          <cell r="H277" t="str">
            <v>Custos Básicos</v>
          </cell>
        </row>
        <row r="278">
          <cell r="A278" t="str">
            <v>A.01.390.02</v>
          </cell>
          <cell r="B278" t="str">
            <v>USINAGEM DE CBUQ (CAPA DE ROLAMENTO) - FAIXA C</v>
          </cell>
          <cell r="C278" t="str">
            <v>t</v>
          </cell>
          <cell r="E278">
            <v>45.11</v>
          </cell>
          <cell r="H278" t="str">
            <v>Custos Básicos</v>
          </cell>
        </row>
        <row r="279">
          <cell r="A279" t="str">
            <v>A.01.390.03</v>
          </cell>
          <cell r="B279" t="str">
            <v>USINAGEM DE CBUQ (BINDER) - FAIXA B</v>
          </cell>
          <cell r="C279" t="str">
            <v>t</v>
          </cell>
          <cell r="E279">
            <v>31.96</v>
          </cell>
          <cell r="H279" t="str">
            <v>Custos Básicos</v>
          </cell>
        </row>
        <row r="280">
          <cell r="A280" t="str">
            <v>A.01.396.01</v>
          </cell>
          <cell r="B280" t="str">
            <v>USINAGEM DE SOLO-CIMENTO</v>
          </cell>
          <cell r="C280" t="str">
            <v>m³</v>
          </cell>
          <cell r="E280">
            <v>68.33</v>
          </cell>
          <cell r="H280" t="str">
            <v>Custos Básicos</v>
          </cell>
        </row>
        <row r="281">
          <cell r="A281" t="str">
            <v>A.01.396.02</v>
          </cell>
          <cell r="B281" t="str">
            <v>USINAGEM DE SOLO MELHORADO C/CIMENTO</v>
          </cell>
          <cell r="C281" t="str">
            <v>m³</v>
          </cell>
          <cell r="E281">
            <v>39.47</v>
          </cell>
          <cell r="H281" t="str">
            <v>Custos Básicos</v>
          </cell>
        </row>
        <row r="282">
          <cell r="A282" t="str">
            <v>A.01.401.01</v>
          </cell>
          <cell r="B282" t="str">
            <v>FORMA COMUM DE MADEIRA</v>
          </cell>
          <cell r="C282" t="str">
            <v>m²</v>
          </cell>
          <cell r="E282">
            <v>21.799999999999997</v>
          </cell>
          <cell r="H282" t="str">
            <v>Custos Básicos</v>
          </cell>
        </row>
        <row r="283">
          <cell r="A283" t="str">
            <v>A.01.402.01</v>
          </cell>
          <cell r="B283" t="str">
            <v>FORMA DE PLACA COMPENSADA RESINADA</v>
          </cell>
          <cell r="C283" t="str">
            <v>m²</v>
          </cell>
          <cell r="E283">
            <v>16.11</v>
          </cell>
          <cell r="H283" t="str">
            <v>Custos Básicos</v>
          </cell>
        </row>
        <row r="284">
          <cell r="A284" t="str">
            <v>A.01.404.01</v>
          </cell>
          <cell r="B284" t="str">
            <v>FORMA P/TUBULÃO</v>
          </cell>
          <cell r="C284" t="str">
            <v>m²</v>
          </cell>
          <cell r="E284">
            <v>10.33</v>
          </cell>
          <cell r="H284" t="str">
            <v>Custos Básicos</v>
          </cell>
        </row>
        <row r="285">
          <cell r="A285" t="str">
            <v>A.01.407.01</v>
          </cell>
          <cell r="B285" t="str">
            <v>CONFECÇÃO E LANÇAMENTO DE CONCRETO MAGRO EM BETONEIRA</v>
          </cell>
          <cell r="C285" t="str">
            <v>m³</v>
          </cell>
          <cell r="E285">
            <v>155.99</v>
          </cell>
          <cell r="H285" t="str">
            <v>Custos Básicos</v>
          </cell>
        </row>
        <row r="286">
          <cell r="A286" t="str">
            <v>A.01.410.01</v>
          </cell>
          <cell r="B286" t="str">
            <v>CONCRETO FCK=10MPA</v>
          </cell>
          <cell r="C286" t="str">
            <v>m³</v>
          </cell>
          <cell r="E286">
            <v>183.42</v>
          </cell>
          <cell r="H286" t="str">
            <v>Custos Básicos</v>
          </cell>
        </row>
        <row r="287">
          <cell r="A287" t="str">
            <v>A.01.412.01</v>
          </cell>
          <cell r="B287" t="str">
            <v>CONCRETO FCK=12MPA</v>
          </cell>
          <cell r="C287" t="str">
            <v>m³</v>
          </cell>
          <cell r="E287">
            <v>190.76999999999998</v>
          </cell>
          <cell r="H287" t="str">
            <v>Custos Básicos</v>
          </cell>
        </row>
        <row r="288">
          <cell r="A288" t="str">
            <v>A.01.415.01</v>
          </cell>
          <cell r="B288" t="str">
            <v>CONCRETO ESTRUTURAL FCK=15MPA</v>
          </cell>
          <cell r="C288" t="str">
            <v>m³</v>
          </cell>
          <cell r="E288">
            <v>198.69</v>
          </cell>
          <cell r="H288" t="str">
            <v>Custos Básicos</v>
          </cell>
        </row>
        <row r="289">
          <cell r="A289" t="str">
            <v>A.01.418.01</v>
          </cell>
          <cell r="B289" t="str">
            <v>CONCRETO ESTRUTURAL FCK=18MPA</v>
          </cell>
          <cell r="C289" t="str">
            <v>m³</v>
          </cell>
          <cell r="E289">
            <v>206.28</v>
          </cell>
          <cell r="H289" t="str">
            <v>Custos Básicos</v>
          </cell>
        </row>
        <row r="290">
          <cell r="A290" t="str">
            <v>A.01.422.01</v>
          </cell>
          <cell r="B290" t="str">
            <v>CONCRETO ESTRUTURAL FCK=22MPA</v>
          </cell>
          <cell r="C290" t="str">
            <v>m³</v>
          </cell>
          <cell r="E290">
            <v>220</v>
          </cell>
          <cell r="H290" t="str">
            <v>Custos Básicos</v>
          </cell>
        </row>
        <row r="291">
          <cell r="A291" t="str">
            <v>A.01.423.00</v>
          </cell>
          <cell r="B291" t="str">
            <v>CONCRETO FCK=18MPA P/PRÉ-MOLDADOS</v>
          </cell>
          <cell r="C291" t="str">
            <v>m³</v>
          </cell>
          <cell r="E291">
            <v>202.14000000000004</v>
          </cell>
          <cell r="H291" t="str">
            <v>Custos Básicos</v>
          </cell>
        </row>
        <row r="292">
          <cell r="A292" t="str">
            <v>A.01.424.00</v>
          </cell>
          <cell r="B292" t="str">
            <v>CONCRETO POROSO P/PRÉ-MOLDADOS (TUBOS)</v>
          </cell>
          <cell r="C292" t="str">
            <v>m³</v>
          </cell>
          <cell r="E292">
            <v>200.13000000000002</v>
          </cell>
          <cell r="H292" t="str">
            <v>Custos Básicos</v>
          </cell>
        </row>
        <row r="293">
          <cell r="A293" t="str">
            <v>A.01.450.01</v>
          </cell>
          <cell r="B293" t="str">
            <v>ESCORAMENTO DE BUEIROS CELULARES</v>
          </cell>
          <cell r="C293" t="str">
            <v>m³</v>
          </cell>
          <cell r="E293">
            <v>18.939999999999998</v>
          </cell>
          <cell r="H293" t="str">
            <v>Custos Básicos</v>
          </cell>
        </row>
        <row r="294">
          <cell r="A294" t="str">
            <v>A.01.512.10</v>
          </cell>
          <cell r="B294" t="str">
            <v>CONCRETO CICLÓPICO FCK=12MPA</v>
          </cell>
          <cell r="C294" t="str">
            <v>m³</v>
          </cell>
          <cell r="E294">
            <v>157.22</v>
          </cell>
          <cell r="H294" t="str">
            <v>Custos Básicos</v>
          </cell>
        </row>
        <row r="295">
          <cell r="A295" t="str">
            <v>A.01.515.10</v>
          </cell>
          <cell r="B295" t="str">
            <v>CONCRETO CICLÓPICO FCK=15MPA</v>
          </cell>
          <cell r="C295" t="str">
            <v>m³</v>
          </cell>
          <cell r="E295">
            <v>162.76000000000002</v>
          </cell>
          <cell r="H295" t="str">
            <v>Custos Básicos</v>
          </cell>
        </row>
        <row r="296">
          <cell r="A296" t="str">
            <v>A.01.580.01</v>
          </cell>
          <cell r="B296" t="str">
            <v>FORNECIMENTO, PREPARO E COLOCAÇÃO DE AÇO CA-60</v>
          </cell>
          <cell r="C296" t="str">
            <v>kg</v>
          </cell>
          <cell r="E296">
            <v>2.9599999999999995</v>
          </cell>
          <cell r="H296" t="str">
            <v>Custos Básicos</v>
          </cell>
        </row>
        <row r="297">
          <cell r="A297" t="str">
            <v>A.01.580.02</v>
          </cell>
          <cell r="B297" t="str">
            <v>FORNECIMENTO, PREPARO E COLOCAÇÃO DE AÇO CA-50</v>
          </cell>
          <cell r="C297" t="str">
            <v>kg</v>
          </cell>
          <cell r="E297">
            <v>2.8699999999999997</v>
          </cell>
          <cell r="H297" t="str">
            <v>Custos Básicos</v>
          </cell>
        </row>
        <row r="298">
          <cell r="A298" t="str">
            <v>A.01.603.01</v>
          </cell>
          <cell r="B298" t="str">
            <v>ARGAMASSA CIMENTO AREIA 1:3</v>
          </cell>
          <cell r="C298" t="str">
            <v>m³</v>
          </cell>
          <cell r="E298">
            <v>209.98999999999998</v>
          </cell>
          <cell r="H298" t="str">
            <v>Custos Básicos</v>
          </cell>
        </row>
        <row r="299">
          <cell r="A299" t="str">
            <v>A.01.604.01</v>
          </cell>
          <cell r="B299" t="str">
            <v>ARGAMASSA CIMENTO AREIA 1:4</v>
          </cell>
          <cell r="C299" t="str">
            <v>m³</v>
          </cell>
          <cell r="E299">
            <v>180.47</v>
          </cell>
          <cell r="H299" t="str">
            <v>Custos Básicos</v>
          </cell>
        </row>
        <row r="300">
          <cell r="A300" t="str">
            <v>A.01.620.01</v>
          </cell>
          <cell r="B300" t="str">
            <v>ARGAMASSA CIMENTO SOLO 1:10</v>
          </cell>
          <cell r="C300" t="str">
            <v>m³</v>
          </cell>
          <cell r="E300">
            <v>84.59</v>
          </cell>
          <cell r="H300" t="str">
            <v>Custos Básicos</v>
          </cell>
        </row>
        <row r="301">
          <cell r="A301" t="str">
            <v>A.01.730.00</v>
          </cell>
          <cell r="B301" t="str">
            <v>CONCRETO FCK=18MPA P/PRÉ-MOLDADOS (MOURÕES)</v>
          </cell>
          <cell r="C301" t="str">
            <v>m³</v>
          </cell>
          <cell r="E301">
            <v>194.5</v>
          </cell>
          <cell r="H301" t="str">
            <v>Custos Básicos</v>
          </cell>
        </row>
        <row r="302">
          <cell r="A302" t="str">
            <v>A.01.730.01</v>
          </cell>
          <cell r="B302" t="str">
            <v>MOURÃO DE CONCRETO ESTICADOR SEÇÃO QUADRADA 15CM</v>
          </cell>
          <cell r="C302" t="str">
            <v>unid.</v>
          </cell>
          <cell r="E302">
            <v>19.82</v>
          </cell>
          <cell r="H302" t="str">
            <v>Custos Básicos</v>
          </cell>
        </row>
        <row r="303">
          <cell r="A303" t="str">
            <v>A.01.735.01</v>
          </cell>
          <cell r="B303" t="str">
            <v>MOURÃO DE CONCRETO SUPORTE SEÇÃO QUADRADA 11CM</v>
          </cell>
          <cell r="C303" t="str">
            <v>unid.</v>
          </cell>
          <cell r="E303">
            <v>13.5</v>
          </cell>
          <cell r="H303" t="str">
            <v>Custos Básicos</v>
          </cell>
        </row>
        <row r="304">
          <cell r="A304" t="str">
            <v>A.01.740.01</v>
          </cell>
          <cell r="B304" t="str">
            <v>TUBO DE CONCRETO PERFURADO D=0,20M</v>
          </cell>
          <cell r="C304" t="str">
            <v>m</v>
          </cell>
          <cell r="E304">
            <v>9.33</v>
          </cell>
          <cell r="H304" t="str">
            <v>Custos Básicos</v>
          </cell>
        </row>
        <row r="305">
          <cell r="A305" t="str">
            <v>A.01.741.01</v>
          </cell>
          <cell r="B305" t="str">
            <v>TUBO DE CONCRETO POROSO D=0,20M</v>
          </cell>
          <cell r="C305" t="str">
            <v>m</v>
          </cell>
          <cell r="E305">
            <v>9.07</v>
          </cell>
          <cell r="H305" t="str">
            <v>Custos Básicos</v>
          </cell>
        </row>
        <row r="306">
          <cell r="A306" t="str">
            <v>A.01.745.01</v>
          </cell>
          <cell r="B306" t="str">
            <v>TUBO DE CONCRETO D=0,30M</v>
          </cell>
          <cell r="C306" t="str">
            <v>m</v>
          </cell>
          <cell r="E306">
            <v>15.2</v>
          </cell>
          <cell r="H306" t="str">
            <v>Custos Básicos</v>
          </cell>
        </row>
        <row r="307">
          <cell r="A307" t="str">
            <v>A.01.760.01</v>
          </cell>
          <cell r="B307" t="str">
            <v>TUBO DE CONCRETO ARMADO D=0,80M</v>
          </cell>
          <cell r="C307" t="str">
            <v>m</v>
          </cell>
          <cell r="E307">
            <v>123.72</v>
          </cell>
          <cell r="H307" t="str">
            <v>Custos Básicos</v>
          </cell>
        </row>
        <row r="308">
          <cell r="A308" t="str">
            <v>A.01.765.01</v>
          </cell>
          <cell r="B308" t="str">
            <v>TUBO DE CONCRETO ARMADO D=1,00M</v>
          </cell>
          <cell r="C308" t="str">
            <v>m</v>
          </cell>
          <cell r="E308">
            <v>186.10000000000002</v>
          </cell>
          <cell r="H308" t="str">
            <v>Custos Básicos</v>
          </cell>
        </row>
        <row r="309">
          <cell r="A309" t="str">
            <v>A.01.770.01</v>
          </cell>
          <cell r="B309" t="str">
            <v>TUBO DE CONCRETO ARMADO D=1,20M</v>
          </cell>
          <cell r="C309" t="str">
            <v>m</v>
          </cell>
          <cell r="E309">
            <v>256.64</v>
          </cell>
          <cell r="H309" t="str">
            <v>Custos Básicos</v>
          </cell>
        </row>
        <row r="310">
          <cell r="A310" t="str">
            <v>A.01.780.01</v>
          </cell>
          <cell r="B310" t="str">
            <v>OBTENÇÃO DE GRAMA P/REPLANTIO</v>
          </cell>
          <cell r="C310" t="str">
            <v>m²</v>
          </cell>
          <cell r="E310">
            <v>0.56000000000000005</v>
          </cell>
          <cell r="H310" t="str">
            <v>Custos Básicos</v>
          </cell>
        </row>
        <row r="311">
          <cell r="A311" t="str">
            <v>A.01.790.01</v>
          </cell>
          <cell r="B311" t="str">
            <v>GUIA DE MADEIRA 2,5X7,0CM</v>
          </cell>
          <cell r="C311" t="str">
            <v>m</v>
          </cell>
          <cell r="E311">
            <v>1.1599999999999999</v>
          </cell>
          <cell r="H311" t="str">
            <v>Custos Básicos</v>
          </cell>
        </row>
        <row r="312">
          <cell r="A312" t="str">
            <v>A.01.790.02</v>
          </cell>
          <cell r="B312" t="str">
            <v>GUIA DE MADEIRA 2,5X10,0CM</v>
          </cell>
          <cell r="C312" t="str">
            <v>m</v>
          </cell>
          <cell r="E312">
            <v>1.23</v>
          </cell>
          <cell r="H312" t="str">
            <v>Custos Básicos</v>
          </cell>
        </row>
        <row r="313">
          <cell r="A313" t="str">
            <v>A.01.890.01</v>
          </cell>
          <cell r="B313" t="str">
            <v>ESCAVAÇÃO MANUAL EM MATERIAL DE 1ª CATEGORIA</v>
          </cell>
          <cell r="C313" t="str">
            <v>m³</v>
          </cell>
          <cell r="E313">
            <v>12.45</v>
          </cell>
          <cell r="H313" t="str">
            <v>Custos Básicos</v>
          </cell>
        </row>
        <row r="314">
          <cell r="A314" t="str">
            <v>A.01.891.01</v>
          </cell>
          <cell r="B314" t="str">
            <v>ESCAVAÇÃO MANUAL DE VALA EM MATERIAL DE 1ª CATEGORIA</v>
          </cell>
          <cell r="C314" t="str">
            <v>m³</v>
          </cell>
          <cell r="E314">
            <v>14.4</v>
          </cell>
          <cell r="H314" t="str">
            <v>Custos Básicos</v>
          </cell>
        </row>
        <row r="315">
          <cell r="A315" t="str">
            <v>A.01.892.01</v>
          </cell>
          <cell r="B315" t="str">
            <v>ESCAVAÇÃO MECÂNICA DE VALA EM MATERIAL DE 1ª CATEGORIA</v>
          </cell>
          <cell r="C315" t="str">
            <v>m³</v>
          </cell>
          <cell r="E315">
            <v>1.78</v>
          </cell>
          <cell r="H315" t="str">
            <v>Custos Básicos</v>
          </cell>
        </row>
        <row r="316">
          <cell r="A316" t="str">
            <v>A.01.893.01</v>
          </cell>
          <cell r="B316" t="str">
            <v>COMPACTAÇÃO MANUAL</v>
          </cell>
          <cell r="C316" t="str">
            <v>m³</v>
          </cell>
          <cell r="E316">
            <v>5.14</v>
          </cell>
          <cell r="H316" t="str">
            <v>Custos Básicos</v>
          </cell>
        </row>
        <row r="317">
          <cell r="A317" t="str">
            <v>B.00.301.00</v>
          </cell>
          <cell r="B317" t="str">
            <v>ALVENARIA DE PEDRA ARGAMASSADA</v>
          </cell>
          <cell r="C317" t="str">
            <v>m³</v>
          </cell>
          <cell r="E317">
            <v>126.33000000000001</v>
          </cell>
          <cell r="H317" t="str">
            <v>Custos Básicos</v>
          </cell>
        </row>
        <row r="318">
          <cell r="A318" t="str">
            <v>B.00.903.01</v>
          </cell>
          <cell r="B318" t="str">
            <v>DENTES PARA BUEIROS DUPLOS D=1,00M</v>
          </cell>
          <cell r="C318" t="str">
            <v>unid.</v>
          </cell>
          <cell r="E318">
            <v>86.6</v>
          </cell>
          <cell r="H318" t="str">
            <v>Custos Básicos</v>
          </cell>
        </row>
        <row r="319">
          <cell r="A319" t="str">
            <v>B.00.904.01</v>
          </cell>
          <cell r="B319" t="str">
            <v>DENTES PARA BUEIROS DUPLOS D=1,20M</v>
          </cell>
          <cell r="C319" t="str">
            <v>unid.</v>
          </cell>
          <cell r="E319">
            <v>98.320000000000007</v>
          </cell>
          <cell r="H319" t="str">
            <v>Custos Básicos</v>
          </cell>
        </row>
        <row r="320">
          <cell r="A320" t="str">
            <v>B.00.907.01</v>
          </cell>
          <cell r="B320" t="str">
            <v>DENTES PARA BUEIROS SIMPLES D=0,80M</v>
          </cell>
          <cell r="C320" t="str">
            <v>unid.</v>
          </cell>
          <cell r="E320">
            <v>36.270000000000003</v>
          </cell>
          <cell r="H320" t="str">
            <v>Custos Básicos</v>
          </cell>
        </row>
        <row r="321">
          <cell r="A321" t="str">
            <v>B.00.908.01</v>
          </cell>
          <cell r="B321" t="str">
            <v>DENTES PARA BUEIROS SIMPLES D=1,00M</v>
          </cell>
          <cell r="C321" t="str">
            <v>unid.</v>
          </cell>
          <cell r="E321">
            <v>43.22</v>
          </cell>
          <cell r="H321" t="str">
            <v>Custos Básicos</v>
          </cell>
        </row>
        <row r="322">
          <cell r="A322" t="str">
            <v>B.00.909.01</v>
          </cell>
          <cell r="B322" t="str">
            <v>DENTES PARA BUEIROS SIMPLES D=1,20M</v>
          </cell>
          <cell r="C322" t="str">
            <v>unid.</v>
          </cell>
          <cell r="E322">
            <v>49.24</v>
          </cell>
          <cell r="H322" t="str">
            <v>Custos Básicos</v>
          </cell>
        </row>
        <row r="323">
          <cell r="A323" t="str">
            <v>B.00.911.01</v>
          </cell>
          <cell r="B323" t="str">
            <v>DENTES PARA BUEIROS TRIPLOS D=1,00M</v>
          </cell>
          <cell r="C323" t="str">
            <v>unid.</v>
          </cell>
          <cell r="E323">
            <v>127.64999999999999</v>
          </cell>
          <cell r="H323" t="str">
            <v>Custos Básicos</v>
          </cell>
        </row>
        <row r="324">
          <cell r="A324" t="str">
            <v>B.00.999.06</v>
          </cell>
          <cell r="B324" t="str">
            <v>SOLO LOCAL / SELO DE ARGILA APILOADO</v>
          </cell>
          <cell r="C324" t="str">
            <v>m³</v>
          </cell>
          <cell r="E324">
            <v>6.74</v>
          </cell>
          <cell r="H324" t="str">
            <v>Custos Básicos</v>
          </cell>
        </row>
        <row r="325">
          <cell r="H325" t="str">
            <v>Custos Básicos</v>
          </cell>
        </row>
        <row r="326">
          <cell r="H326" t="str">
            <v>Custos Básicos</v>
          </cell>
        </row>
        <row r="327">
          <cell r="H327" t="str">
            <v>Custos Básicos</v>
          </cell>
        </row>
        <row r="328">
          <cell r="H328" t="str">
            <v>Custos Básicos</v>
          </cell>
        </row>
        <row r="329">
          <cell r="H329" t="str">
            <v>Custos Básicos</v>
          </cell>
        </row>
        <row r="330">
          <cell r="H330" t="str">
            <v>Custos Básicos</v>
          </cell>
        </row>
        <row r="331">
          <cell r="H331" t="str">
            <v>Custos Básicos</v>
          </cell>
        </row>
        <row r="332">
          <cell r="H332" t="str">
            <v>Custos Básicos</v>
          </cell>
        </row>
        <row r="333">
          <cell r="H333" t="str">
            <v>Custos Básicos</v>
          </cell>
        </row>
        <row r="334">
          <cell r="H334" t="str">
            <v>Custos Básicos</v>
          </cell>
        </row>
        <row r="335">
          <cell r="H335" t="str">
            <v>Custos Básicos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 FÍSICO-FINANCEIRO"/>
      <sheetName val="T1-02&quot;"/>
      <sheetName val="T1-04&quot;"/>
      <sheetName val="T1-06&quot;"/>
      <sheetName val="T1-08&quot;"/>
      <sheetName val="T1-10&quot;"/>
      <sheetName val="T1-12&quot;"/>
      <sheetName val="T1-14&quot;"/>
      <sheetName val="T2-02&quot;"/>
      <sheetName val="T2-04&quot;"/>
      <sheetName val="T2-06&quot;"/>
      <sheetName val="T2-08&quot;"/>
      <sheetName val="T2-10&quot;"/>
      <sheetName val="T2-12&quot;"/>
      <sheetName val="T2-14&quot;"/>
      <sheetName val="T3-02&quot;"/>
      <sheetName val="T3-04&quot;"/>
      <sheetName val="T3-06&quot;"/>
      <sheetName val="T3-14&quot;"/>
      <sheetName val="T4-02&quot;"/>
      <sheetName val="T4-04&quot;"/>
      <sheetName val="T4-06&quot;"/>
      <sheetName val="T4-14&quot;"/>
      <sheetName val="T5-02&quot;"/>
      <sheetName val="T5-04&quot;"/>
      <sheetName val="T5-06&quot;"/>
      <sheetName val="T5-14&quot;"/>
      <sheetName val="T6-02&quot;"/>
      <sheetName val="T6-04&quot;"/>
      <sheetName val="T6-06&quot;"/>
      <sheetName val="T6-14&quot;"/>
      <sheetName val="T7-02&quot;"/>
      <sheetName val="T7-04&quot;"/>
      <sheetName val="T7-06&quot;"/>
      <sheetName val="T7-14&quot;"/>
      <sheetName val="T8-02&quot;"/>
      <sheetName val="T8-04&quot;"/>
      <sheetName val="T8-06&quot;"/>
      <sheetName val="T8-14&quot;"/>
      <sheetName val="T9-02&quot;"/>
      <sheetName val="T9-04&quot;"/>
      <sheetName val="T9-06&quot;"/>
      <sheetName val="T9-14&quot;"/>
      <sheetName val="0301"/>
      <sheetName val="0302"/>
      <sheetName val="0303"/>
      <sheetName val="0304"/>
      <sheetName val="0305"/>
      <sheetName val="0306"/>
      <sheetName val="0307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0"/>
      <sheetName val="0411"/>
      <sheetName val="0412"/>
      <sheetName val="0413"/>
      <sheetName val="0414"/>
      <sheetName val="0415"/>
      <sheetName val="0416"/>
      <sheetName val="0417"/>
      <sheetName val="0418"/>
      <sheetName val="0419"/>
      <sheetName val="0420"/>
      <sheetName val="0421"/>
      <sheetName val="0422"/>
      <sheetName val="0423"/>
      <sheetName val="0424"/>
      <sheetName val="0425"/>
      <sheetName val="0426"/>
      <sheetName val="0427"/>
      <sheetName val="0428"/>
      <sheetName val="0429"/>
      <sheetName val="0601"/>
      <sheetName val="060201"/>
      <sheetName val="060202"/>
      <sheetName val="060203"/>
      <sheetName val="060204"/>
      <sheetName val="060205"/>
      <sheetName val="060206"/>
      <sheetName val="060207"/>
      <sheetName val="0701"/>
      <sheetName val="0801"/>
      <sheetName val="0802"/>
      <sheetName val="1000"/>
      <sheetName val="1100"/>
      <sheetName val="1200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400"/>
      <sheetName val="1501"/>
      <sheetName val="1502"/>
      <sheetName val="1601"/>
      <sheetName val="1602"/>
      <sheetName val="1701"/>
      <sheetName val="1702"/>
      <sheetName val="1703"/>
      <sheetName val="1704"/>
      <sheetName val="1801"/>
      <sheetName val="1802"/>
      <sheetName val="1803"/>
      <sheetName val="1804"/>
      <sheetName val="1805"/>
      <sheetName val="1806"/>
      <sheetName val="1807"/>
      <sheetName val="1808"/>
      <sheetName val="1809"/>
      <sheetName val="1810"/>
      <sheetName val="1811"/>
      <sheetName val="1812"/>
      <sheetName val="1813"/>
      <sheetName val="Equipe-Projeto"/>
      <sheetName val="equipe 1"/>
      <sheetName val="equipe 2"/>
      <sheetName val="equipe 3"/>
      <sheetName val="equipe 4"/>
      <sheetName val="equipe 5"/>
      <sheetName val="Equipamento"/>
      <sheetName val="maqeq"/>
      <sheetName val="M_obra"/>
      <sheetName val="Dados"/>
      <sheetName val="Estudos GASM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>
        <row r="6">
          <cell r="A6" t="str">
            <v>Data: 03/05/2002</v>
          </cell>
        </row>
      </sheetData>
      <sheetData sheetId="1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"/>
      <sheetName val="REPROGRAMAÇÃO ORÇAMENTO"/>
      <sheetName val="CRONOGRAMA"/>
      <sheetName val="COMPOSIÇÃO PREÇOS TAMPA TIL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.1"/>
      <sheetName val="2.1.2"/>
      <sheetName val="2.1.3"/>
      <sheetName val="2.1.4"/>
      <sheetName val="2.2.1"/>
      <sheetName val="2.2.2"/>
      <sheetName val="2.2.3"/>
      <sheetName val="2.2.4"/>
      <sheetName val="2.3.1"/>
      <sheetName val="2.3.2"/>
      <sheetName val="2.3.3"/>
      <sheetName val="2.3.4"/>
      <sheetName val="2.4.1.1"/>
      <sheetName val="2.4.1.2"/>
      <sheetName val="2.4.1.3"/>
      <sheetName val="2.4.1.4"/>
      <sheetName val="2.5.1.1"/>
      <sheetName val="2.5.1.2"/>
      <sheetName val="2.5.1.3"/>
      <sheetName val="2.5.1.4"/>
      <sheetName val="2_1_1"/>
    </sheetNames>
    <sheetDataSet>
      <sheetData sheetId="0"/>
      <sheetData sheetId="1" refreshError="1">
        <row r="3">
          <cell r="B3" t="str">
            <v>CONENGE-SC CONSTRUÇÕES E ENGENHARIA LTDA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dulo1"/>
      <sheetName val="DESARENADOR"/>
      <sheetName val="DESARENADOR (2)"/>
      <sheetName val="RALFXVI"/>
      <sheetName val="RALFXVI(2)"/>
      <sheetName val="CXFLUXO"/>
      <sheetName val="CXFLUXO(2)"/>
      <sheetName val="FILTRO"/>
      <sheetName val="FILTRO (2)"/>
      <sheetName val="EELODO"/>
      <sheetName val="EELODO (2)"/>
      <sheetName val="LEITO"/>
      <sheetName val="LEITO (2)"/>
      <sheetName val="CONTATO"/>
      <sheetName val="CONTATO (2)"/>
      <sheetName val="DEPOSITO"/>
      <sheetName val="DEPOSITO(2)"/>
      <sheetName val="ITENS"/>
      <sheetName val="ITENS(2)"/>
      <sheetName val="RALFIX"/>
      <sheetName val="RALFIX (2)"/>
      <sheetName val="RES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9"/>
  <sheetViews>
    <sheetView view="pageBreakPreview" zoomScale="85" zoomScaleNormal="100" zoomScaleSheetLayoutView="85" workbookViewId="0">
      <selection activeCell="AG100" sqref="AG100"/>
    </sheetView>
  </sheetViews>
  <sheetFormatPr defaultRowHeight="12.75" x14ac:dyDescent="0.2"/>
  <cols>
    <col min="1" max="1" width="11.28515625" style="18" customWidth="1"/>
    <col min="2" max="2" width="9.42578125" style="19" customWidth="1"/>
    <col min="3" max="3" width="11.7109375" style="19" customWidth="1"/>
    <col min="4" max="4" width="80.5703125" style="20" customWidth="1"/>
    <col min="5" max="5" width="8.7109375" style="18" customWidth="1"/>
    <col min="6" max="6" width="14.42578125" style="18" customWidth="1"/>
    <col min="7" max="7" width="12" style="18" hidden="1" customWidth="1"/>
    <col min="8" max="9" width="13.28515625" style="18" customWidth="1"/>
    <col min="10" max="10" width="16.28515625" style="18" customWidth="1"/>
    <col min="11" max="11" width="20.140625" style="34" customWidth="1"/>
    <col min="12" max="12" width="15" style="21" customWidth="1"/>
    <col min="13" max="13" width="19.5703125" style="21" customWidth="1"/>
    <col min="14" max="14" width="14.7109375" style="21" hidden="1" customWidth="1"/>
    <col min="15" max="15" width="17" style="21" hidden="1" customWidth="1"/>
    <col min="16" max="16" width="16" style="21" hidden="1" customWidth="1"/>
    <col min="17" max="17" width="9.140625" style="21"/>
    <col min="18" max="18" width="14.28515625" style="21" customWidth="1"/>
    <col min="19" max="256" width="9.140625" style="21"/>
    <col min="257" max="257" width="11.28515625" style="21" customWidth="1"/>
    <col min="258" max="258" width="9.42578125" style="21" customWidth="1"/>
    <col min="259" max="259" width="11.7109375" style="21" customWidth="1"/>
    <col min="260" max="260" width="80.5703125" style="21" customWidth="1"/>
    <col min="261" max="261" width="8.7109375" style="21" customWidth="1"/>
    <col min="262" max="262" width="14.42578125" style="21" customWidth="1"/>
    <col min="263" max="263" width="0" style="21" hidden="1" customWidth="1"/>
    <col min="264" max="265" width="13.28515625" style="21" customWidth="1"/>
    <col min="266" max="266" width="16.28515625" style="21" customWidth="1"/>
    <col min="267" max="267" width="20.140625" style="21" customWidth="1"/>
    <col min="268" max="268" width="15" style="21" customWidth="1"/>
    <col min="269" max="269" width="19.5703125" style="21" customWidth="1"/>
    <col min="270" max="272" width="0" style="21" hidden="1" customWidth="1"/>
    <col min="273" max="512" width="9.140625" style="21"/>
    <col min="513" max="513" width="11.28515625" style="21" customWidth="1"/>
    <col min="514" max="514" width="9.42578125" style="21" customWidth="1"/>
    <col min="515" max="515" width="11.7109375" style="21" customWidth="1"/>
    <col min="516" max="516" width="80.5703125" style="21" customWidth="1"/>
    <col min="517" max="517" width="8.7109375" style="21" customWidth="1"/>
    <col min="518" max="518" width="14.42578125" style="21" customWidth="1"/>
    <col min="519" max="519" width="0" style="21" hidden="1" customWidth="1"/>
    <col min="520" max="521" width="13.28515625" style="21" customWidth="1"/>
    <col min="522" max="522" width="16.28515625" style="21" customWidth="1"/>
    <col min="523" max="523" width="20.140625" style="21" customWidth="1"/>
    <col min="524" max="524" width="15" style="21" customWidth="1"/>
    <col min="525" max="525" width="19.5703125" style="21" customWidth="1"/>
    <col min="526" max="528" width="0" style="21" hidden="1" customWidth="1"/>
    <col min="529" max="768" width="9.140625" style="21"/>
    <col min="769" max="769" width="11.28515625" style="21" customWidth="1"/>
    <col min="770" max="770" width="9.42578125" style="21" customWidth="1"/>
    <col min="771" max="771" width="11.7109375" style="21" customWidth="1"/>
    <col min="772" max="772" width="80.5703125" style="21" customWidth="1"/>
    <col min="773" max="773" width="8.7109375" style="21" customWidth="1"/>
    <col min="774" max="774" width="14.42578125" style="21" customWidth="1"/>
    <col min="775" max="775" width="0" style="21" hidden="1" customWidth="1"/>
    <col min="776" max="777" width="13.28515625" style="21" customWidth="1"/>
    <col min="778" max="778" width="16.28515625" style="21" customWidth="1"/>
    <col min="779" max="779" width="20.140625" style="21" customWidth="1"/>
    <col min="780" max="780" width="15" style="21" customWidth="1"/>
    <col min="781" max="781" width="19.5703125" style="21" customWidth="1"/>
    <col min="782" max="784" width="0" style="21" hidden="1" customWidth="1"/>
    <col min="785" max="1024" width="9.140625" style="21"/>
    <col min="1025" max="1025" width="11.28515625" style="21" customWidth="1"/>
    <col min="1026" max="1026" width="9.42578125" style="21" customWidth="1"/>
    <col min="1027" max="1027" width="11.7109375" style="21" customWidth="1"/>
    <col min="1028" max="1028" width="80.5703125" style="21" customWidth="1"/>
    <col min="1029" max="1029" width="8.7109375" style="21" customWidth="1"/>
    <col min="1030" max="1030" width="14.42578125" style="21" customWidth="1"/>
    <col min="1031" max="1031" width="0" style="21" hidden="1" customWidth="1"/>
    <col min="1032" max="1033" width="13.28515625" style="21" customWidth="1"/>
    <col min="1034" max="1034" width="16.28515625" style="21" customWidth="1"/>
    <col min="1035" max="1035" width="20.140625" style="21" customWidth="1"/>
    <col min="1036" max="1036" width="15" style="21" customWidth="1"/>
    <col min="1037" max="1037" width="19.5703125" style="21" customWidth="1"/>
    <col min="1038" max="1040" width="0" style="21" hidden="1" customWidth="1"/>
    <col min="1041" max="1280" width="9.140625" style="21"/>
    <col min="1281" max="1281" width="11.28515625" style="21" customWidth="1"/>
    <col min="1282" max="1282" width="9.42578125" style="21" customWidth="1"/>
    <col min="1283" max="1283" width="11.7109375" style="21" customWidth="1"/>
    <col min="1284" max="1284" width="80.5703125" style="21" customWidth="1"/>
    <col min="1285" max="1285" width="8.7109375" style="21" customWidth="1"/>
    <col min="1286" max="1286" width="14.42578125" style="21" customWidth="1"/>
    <col min="1287" max="1287" width="0" style="21" hidden="1" customWidth="1"/>
    <col min="1288" max="1289" width="13.28515625" style="21" customWidth="1"/>
    <col min="1290" max="1290" width="16.28515625" style="21" customWidth="1"/>
    <col min="1291" max="1291" width="20.140625" style="21" customWidth="1"/>
    <col min="1292" max="1292" width="15" style="21" customWidth="1"/>
    <col min="1293" max="1293" width="19.5703125" style="21" customWidth="1"/>
    <col min="1294" max="1296" width="0" style="21" hidden="1" customWidth="1"/>
    <col min="1297" max="1536" width="9.140625" style="21"/>
    <col min="1537" max="1537" width="11.28515625" style="21" customWidth="1"/>
    <col min="1538" max="1538" width="9.42578125" style="21" customWidth="1"/>
    <col min="1539" max="1539" width="11.7109375" style="21" customWidth="1"/>
    <col min="1540" max="1540" width="80.5703125" style="21" customWidth="1"/>
    <col min="1541" max="1541" width="8.7109375" style="21" customWidth="1"/>
    <col min="1542" max="1542" width="14.42578125" style="21" customWidth="1"/>
    <col min="1543" max="1543" width="0" style="21" hidden="1" customWidth="1"/>
    <col min="1544" max="1545" width="13.28515625" style="21" customWidth="1"/>
    <col min="1546" max="1546" width="16.28515625" style="21" customWidth="1"/>
    <col min="1547" max="1547" width="20.140625" style="21" customWidth="1"/>
    <col min="1548" max="1548" width="15" style="21" customWidth="1"/>
    <col min="1549" max="1549" width="19.5703125" style="21" customWidth="1"/>
    <col min="1550" max="1552" width="0" style="21" hidden="1" customWidth="1"/>
    <col min="1553" max="1792" width="9.140625" style="21"/>
    <col min="1793" max="1793" width="11.28515625" style="21" customWidth="1"/>
    <col min="1794" max="1794" width="9.42578125" style="21" customWidth="1"/>
    <col min="1795" max="1795" width="11.7109375" style="21" customWidth="1"/>
    <col min="1796" max="1796" width="80.5703125" style="21" customWidth="1"/>
    <col min="1797" max="1797" width="8.7109375" style="21" customWidth="1"/>
    <col min="1798" max="1798" width="14.42578125" style="21" customWidth="1"/>
    <col min="1799" max="1799" width="0" style="21" hidden="1" customWidth="1"/>
    <col min="1800" max="1801" width="13.28515625" style="21" customWidth="1"/>
    <col min="1802" max="1802" width="16.28515625" style="21" customWidth="1"/>
    <col min="1803" max="1803" width="20.140625" style="21" customWidth="1"/>
    <col min="1804" max="1804" width="15" style="21" customWidth="1"/>
    <col min="1805" max="1805" width="19.5703125" style="21" customWidth="1"/>
    <col min="1806" max="1808" width="0" style="21" hidden="1" customWidth="1"/>
    <col min="1809" max="2048" width="9.140625" style="21"/>
    <col min="2049" max="2049" width="11.28515625" style="21" customWidth="1"/>
    <col min="2050" max="2050" width="9.42578125" style="21" customWidth="1"/>
    <col min="2051" max="2051" width="11.7109375" style="21" customWidth="1"/>
    <col min="2052" max="2052" width="80.5703125" style="21" customWidth="1"/>
    <col min="2053" max="2053" width="8.7109375" style="21" customWidth="1"/>
    <col min="2054" max="2054" width="14.42578125" style="21" customWidth="1"/>
    <col min="2055" max="2055" width="0" style="21" hidden="1" customWidth="1"/>
    <col min="2056" max="2057" width="13.28515625" style="21" customWidth="1"/>
    <col min="2058" max="2058" width="16.28515625" style="21" customWidth="1"/>
    <col min="2059" max="2059" width="20.140625" style="21" customWidth="1"/>
    <col min="2060" max="2060" width="15" style="21" customWidth="1"/>
    <col min="2061" max="2061" width="19.5703125" style="21" customWidth="1"/>
    <col min="2062" max="2064" width="0" style="21" hidden="1" customWidth="1"/>
    <col min="2065" max="2304" width="9.140625" style="21"/>
    <col min="2305" max="2305" width="11.28515625" style="21" customWidth="1"/>
    <col min="2306" max="2306" width="9.42578125" style="21" customWidth="1"/>
    <col min="2307" max="2307" width="11.7109375" style="21" customWidth="1"/>
    <col min="2308" max="2308" width="80.5703125" style="21" customWidth="1"/>
    <col min="2309" max="2309" width="8.7109375" style="21" customWidth="1"/>
    <col min="2310" max="2310" width="14.42578125" style="21" customWidth="1"/>
    <col min="2311" max="2311" width="0" style="21" hidden="1" customWidth="1"/>
    <col min="2312" max="2313" width="13.28515625" style="21" customWidth="1"/>
    <col min="2314" max="2314" width="16.28515625" style="21" customWidth="1"/>
    <col min="2315" max="2315" width="20.140625" style="21" customWidth="1"/>
    <col min="2316" max="2316" width="15" style="21" customWidth="1"/>
    <col min="2317" max="2317" width="19.5703125" style="21" customWidth="1"/>
    <col min="2318" max="2320" width="0" style="21" hidden="1" customWidth="1"/>
    <col min="2321" max="2560" width="9.140625" style="21"/>
    <col min="2561" max="2561" width="11.28515625" style="21" customWidth="1"/>
    <col min="2562" max="2562" width="9.42578125" style="21" customWidth="1"/>
    <col min="2563" max="2563" width="11.7109375" style="21" customWidth="1"/>
    <col min="2564" max="2564" width="80.5703125" style="21" customWidth="1"/>
    <col min="2565" max="2565" width="8.7109375" style="21" customWidth="1"/>
    <col min="2566" max="2566" width="14.42578125" style="21" customWidth="1"/>
    <col min="2567" max="2567" width="0" style="21" hidden="1" customWidth="1"/>
    <col min="2568" max="2569" width="13.28515625" style="21" customWidth="1"/>
    <col min="2570" max="2570" width="16.28515625" style="21" customWidth="1"/>
    <col min="2571" max="2571" width="20.140625" style="21" customWidth="1"/>
    <col min="2572" max="2572" width="15" style="21" customWidth="1"/>
    <col min="2573" max="2573" width="19.5703125" style="21" customWidth="1"/>
    <col min="2574" max="2576" width="0" style="21" hidden="1" customWidth="1"/>
    <col min="2577" max="2816" width="9.140625" style="21"/>
    <col min="2817" max="2817" width="11.28515625" style="21" customWidth="1"/>
    <col min="2818" max="2818" width="9.42578125" style="21" customWidth="1"/>
    <col min="2819" max="2819" width="11.7109375" style="21" customWidth="1"/>
    <col min="2820" max="2820" width="80.5703125" style="21" customWidth="1"/>
    <col min="2821" max="2821" width="8.7109375" style="21" customWidth="1"/>
    <col min="2822" max="2822" width="14.42578125" style="21" customWidth="1"/>
    <col min="2823" max="2823" width="0" style="21" hidden="1" customWidth="1"/>
    <col min="2824" max="2825" width="13.28515625" style="21" customWidth="1"/>
    <col min="2826" max="2826" width="16.28515625" style="21" customWidth="1"/>
    <col min="2827" max="2827" width="20.140625" style="21" customWidth="1"/>
    <col min="2828" max="2828" width="15" style="21" customWidth="1"/>
    <col min="2829" max="2829" width="19.5703125" style="21" customWidth="1"/>
    <col min="2830" max="2832" width="0" style="21" hidden="1" customWidth="1"/>
    <col min="2833" max="3072" width="9.140625" style="21"/>
    <col min="3073" max="3073" width="11.28515625" style="21" customWidth="1"/>
    <col min="3074" max="3074" width="9.42578125" style="21" customWidth="1"/>
    <col min="3075" max="3075" width="11.7109375" style="21" customWidth="1"/>
    <col min="3076" max="3076" width="80.5703125" style="21" customWidth="1"/>
    <col min="3077" max="3077" width="8.7109375" style="21" customWidth="1"/>
    <col min="3078" max="3078" width="14.42578125" style="21" customWidth="1"/>
    <col min="3079" max="3079" width="0" style="21" hidden="1" customWidth="1"/>
    <col min="3080" max="3081" width="13.28515625" style="21" customWidth="1"/>
    <col min="3082" max="3082" width="16.28515625" style="21" customWidth="1"/>
    <col min="3083" max="3083" width="20.140625" style="21" customWidth="1"/>
    <col min="3084" max="3084" width="15" style="21" customWidth="1"/>
    <col min="3085" max="3085" width="19.5703125" style="21" customWidth="1"/>
    <col min="3086" max="3088" width="0" style="21" hidden="1" customWidth="1"/>
    <col min="3089" max="3328" width="9.140625" style="21"/>
    <col min="3329" max="3329" width="11.28515625" style="21" customWidth="1"/>
    <col min="3330" max="3330" width="9.42578125" style="21" customWidth="1"/>
    <col min="3331" max="3331" width="11.7109375" style="21" customWidth="1"/>
    <col min="3332" max="3332" width="80.5703125" style="21" customWidth="1"/>
    <col min="3333" max="3333" width="8.7109375" style="21" customWidth="1"/>
    <col min="3334" max="3334" width="14.42578125" style="21" customWidth="1"/>
    <col min="3335" max="3335" width="0" style="21" hidden="1" customWidth="1"/>
    <col min="3336" max="3337" width="13.28515625" style="21" customWidth="1"/>
    <col min="3338" max="3338" width="16.28515625" style="21" customWidth="1"/>
    <col min="3339" max="3339" width="20.140625" style="21" customWidth="1"/>
    <col min="3340" max="3340" width="15" style="21" customWidth="1"/>
    <col min="3341" max="3341" width="19.5703125" style="21" customWidth="1"/>
    <col min="3342" max="3344" width="0" style="21" hidden="1" customWidth="1"/>
    <col min="3345" max="3584" width="9.140625" style="21"/>
    <col min="3585" max="3585" width="11.28515625" style="21" customWidth="1"/>
    <col min="3586" max="3586" width="9.42578125" style="21" customWidth="1"/>
    <col min="3587" max="3587" width="11.7109375" style="21" customWidth="1"/>
    <col min="3588" max="3588" width="80.5703125" style="21" customWidth="1"/>
    <col min="3589" max="3589" width="8.7109375" style="21" customWidth="1"/>
    <col min="3590" max="3590" width="14.42578125" style="21" customWidth="1"/>
    <col min="3591" max="3591" width="0" style="21" hidden="1" customWidth="1"/>
    <col min="3592" max="3593" width="13.28515625" style="21" customWidth="1"/>
    <col min="3594" max="3594" width="16.28515625" style="21" customWidth="1"/>
    <col min="3595" max="3595" width="20.140625" style="21" customWidth="1"/>
    <col min="3596" max="3596" width="15" style="21" customWidth="1"/>
    <col min="3597" max="3597" width="19.5703125" style="21" customWidth="1"/>
    <col min="3598" max="3600" width="0" style="21" hidden="1" customWidth="1"/>
    <col min="3601" max="3840" width="9.140625" style="21"/>
    <col min="3841" max="3841" width="11.28515625" style="21" customWidth="1"/>
    <col min="3842" max="3842" width="9.42578125" style="21" customWidth="1"/>
    <col min="3843" max="3843" width="11.7109375" style="21" customWidth="1"/>
    <col min="3844" max="3844" width="80.5703125" style="21" customWidth="1"/>
    <col min="3845" max="3845" width="8.7109375" style="21" customWidth="1"/>
    <col min="3846" max="3846" width="14.42578125" style="21" customWidth="1"/>
    <col min="3847" max="3847" width="0" style="21" hidden="1" customWidth="1"/>
    <col min="3848" max="3849" width="13.28515625" style="21" customWidth="1"/>
    <col min="3850" max="3850" width="16.28515625" style="21" customWidth="1"/>
    <col min="3851" max="3851" width="20.140625" style="21" customWidth="1"/>
    <col min="3852" max="3852" width="15" style="21" customWidth="1"/>
    <col min="3853" max="3853" width="19.5703125" style="21" customWidth="1"/>
    <col min="3854" max="3856" width="0" style="21" hidden="1" customWidth="1"/>
    <col min="3857" max="4096" width="9.140625" style="21"/>
    <col min="4097" max="4097" width="11.28515625" style="21" customWidth="1"/>
    <col min="4098" max="4098" width="9.42578125" style="21" customWidth="1"/>
    <col min="4099" max="4099" width="11.7109375" style="21" customWidth="1"/>
    <col min="4100" max="4100" width="80.5703125" style="21" customWidth="1"/>
    <col min="4101" max="4101" width="8.7109375" style="21" customWidth="1"/>
    <col min="4102" max="4102" width="14.42578125" style="21" customWidth="1"/>
    <col min="4103" max="4103" width="0" style="21" hidden="1" customWidth="1"/>
    <col min="4104" max="4105" width="13.28515625" style="21" customWidth="1"/>
    <col min="4106" max="4106" width="16.28515625" style="21" customWidth="1"/>
    <col min="4107" max="4107" width="20.140625" style="21" customWidth="1"/>
    <col min="4108" max="4108" width="15" style="21" customWidth="1"/>
    <col min="4109" max="4109" width="19.5703125" style="21" customWidth="1"/>
    <col min="4110" max="4112" width="0" style="21" hidden="1" customWidth="1"/>
    <col min="4113" max="4352" width="9.140625" style="21"/>
    <col min="4353" max="4353" width="11.28515625" style="21" customWidth="1"/>
    <col min="4354" max="4354" width="9.42578125" style="21" customWidth="1"/>
    <col min="4355" max="4355" width="11.7109375" style="21" customWidth="1"/>
    <col min="4356" max="4356" width="80.5703125" style="21" customWidth="1"/>
    <col min="4357" max="4357" width="8.7109375" style="21" customWidth="1"/>
    <col min="4358" max="4358" width="14.42578125" style="21" customWidth="1"/>
    <col min="4359" max="4359" width="0" style="21" hidden="1" customWidth="1"/>
    <col min="4360" max="4361" width="13.28515625" style="21" customWidth="1"/>
    <col min="4362" max="4362" width="16.28515625" style="21" customWidth="1"/>
    <col min="4363" max="4363" width="20.140625" style="21" customWidth="1"/>
    <col min="4364" max="4364" width="15" style="21" customWidth="1"/>
    <col min="4365" max="4365" width="19.5703125" style="21" customWidth="1"/>
    <col min="4366" max="4368" width="0" style="21" hidden="1" customWidth="1"/>
    <col min="4369" max="4608" width="9.140625" style="21"/>
    <col min="4609" max="4609" width="11.28515625" style="21" customWidth="1"/>
    <col min="4610" max="4610" width="9.42578125" style="21" customWidth="1"/>
    <col min="4611" max="4611" width="11.7109375" style="21" customWidth="1"/>
    <col min="4612" max="4612" width="80.5703125" style="21" customWidth="1"/>
    <col min="4613" max="4613" width="8.7109375" style="21" customWidth="1"/>
    <col min="4614" max="4614" width="14.42578125" style="21" customWidth="1"/>
    <col min="4615" max="4615" width="0" style="21" hidden="1" customWidth="1"/>
    <col min="4616" max="4617" width="13.28515625" style="21" customWidth="1"/>
    <col min="4618" max="4618" width="16.28515625" style="21" customWidth="1"/>
    <col min="4619" max="4619" width="20.140625" style="21" customWidth="1"/>
    <col min="4620" max="4620" width="15" style="21" customWidth="1"/>
    <col min="4621" max="4621" width="19.5703125" style="21" customWidth="1"/>
    <col min="4622" max="4624" width="0" style="21" hidden="1" customWidth="1"/>
    <col min="4625" max="4864" width="9.140625" style="21"/>
    <col min="4865" max="4865" width="11.28515625" style="21" customWidth="1"/>
    <col min="4866" max="4866" width="9.42578125" style="21" customWidth="1"/>
    <col min="4867" max="4867" width="11.7109375" style="21" customWidth="1"/>
    <col min="4868" max="4868" width="80.5703125" style="21" customWidth="1"/>
    <col min="4869" max="4869" width="8.7109375" style="21" customWidth="1"/>
    <col min="4870" max="4870" width="14.42578125" style="21" customWidth="1"/>
    <col min="4871" max="4871" width="0" style="21" hidden="1" customWidth="1"/>
    <col min="4872" max="4873" width="13.28515625" style="21" customWidth="1"/>
    <col min="4874" max="4874" width="16.28515625" style="21" customWidth="1"/>
    <col min="4875" max="4875" width="20.140625" style="21" customWidth="1"/>
    <col min="4876" max="4876" width="15" style="21" customWidth="1"/>
    <col min="4877" max="4877" width="19.5703125" style="21" customWidth="1"/>
    <col min="4878" max="4880" width="0" style="21" hidden="1" customWidth="1"/>
    <col min="4881" max="5120" width="9.140625" style="21"/>
    <col min="5121" max="5121" width="11.28515625" style="21" customWidth="1"/>
    <col min="5122" max="5122" width="9.42578125" style="21" customWidth="1"/>
    <col min="5123" max="5123" width="11.7109375" style="21" customWidth="1"/>
    <col min="5124" max="5124" width="80.5703125" style="21" customWidth="1"/>
    <col min="5125" max="5125" width="8.7109375" style="21" customWidth="1"/>
    <col min="5126" max="5126" width="14.42578125" style="21" customWidth="1"/>
    <col min="5127" max="5127" width="0" style="21" hidden="1" customWidth="1"/>
    <col min="5128" max="5129" width="13.28515625" style="21" customWidth="1"/>
    <col min="5130" max="5130" width="16.28515625" style="21" customWidth="1"/>
    <col min="5131" max="5131" width="20.140625" style="21" customWidth="1"/>
    <col min="5132" max="5132" width="15" style="21" customWidth="1"/>
    <col min="5133" max="5133" width="19.5703125" style="21" customWidth="1"/>
    <col min="5134" max="5136" width="0" style="21" hidden="1" customWidth="1"/>
    <col min="5137" max="5376" width="9.140625" style="21"/>
    <col min="5377" max="5377" width="11.28515625" style="21" customWidth="1"/>
    <col min="5378" max="5378" width="9.42578125" style="21" customWidth="1"/>
    <col min="5379" max="5379" width="11.7109375" style="21" customWidth="1"/>
    <col min="5380" max="5380" width="80.5703125" style="21" customWidth="1"/>
    <col min="5381" max="5381" width="8.7109375" style="21" customWidth="1"/>
    <col min="5382" max="5382" width="14.42578125" style="21" customWidth="1"/>
    <col min="5383" max="5383" width="0" style="21" hidden="1" customWidth="1"/>
    <col min="5384" max="5385" width="13.28515625" style="21" customWidth="1"/>
    <col min="5386" max="5386" width="16.28515625" style="21" customWidth="1"/>
    <col min="5387" max="5387" width="20.140625" style="21" customWidth="1"/>
    <col min="5388" max="5388" width="15" style="21" customWidth="1"/>
    <col min="5389" max="5389" width="19.5703125" style="21" customWidth="1"/>
    <col min="5390" max="5392" width="0" style="21" hidden="1" customWidth="1"/>
    <col min="5393" max="5632" width="9.140625" style="21"/>
    <col min="5633" max="5633" width="11.28515625" style="21" customWidth="1"/>
    <col min="5634" max="5634" width="9.42578125" style="21" customWidth="1"/>
    <col min="5635" max="5635" width="11.7109375" style="21" customWidth="1"/>
    <col min="5636" max="5636" width="80.5703125" style="21" customWidth="1"/>
    <col min="5637" max="5637" width="8.7109375" style="21" customWidth="1"/>
    <col min="5638" max="5638" width="14.42578125" style="21" customWidth="1"/>
    <col min="5639" max="5639" width="0" style="21" hidden="1" customWidth="1"/>
    <col min="5640" max="5641" width="13.28515625" style="21" customWidth="1"/>
    <col min="5642" max="5642" width="16.28515625" style="21" customWidth="1"/>
    <col min="5643" max="5643" width="20.140625" style="21" customWidth="1"/>
    <col min="5644" max="5644" width="15" style="21" customWidth="1"/>
    <col min="5645" max="5645" width="19.5703125" style="21" customWidth="1"/>
    <col min="5646" max="5648" width="0" style="21" hidden="1" customWidth="1"/>
    <col min="5649" max="5888" width="9.140625" style="21"/>
    <col min="5889" max="5889" width="11.28515625" style="21" customWidth="1"/>
    <col min="5890" max="5890" width="9.42578125" style="21" customWidth="1"/>
    <col min="5891" max="5891" width="11.7109375" style="21" customWidth="1"/>
    <col min="5892" max="5892" width="80.5703125" style="21" customWidth="1"/>
    <col min="5893" max="5893" width="8.7109375" style="21" customWidth="1"/>
    <col min="5894" max="5894" width="14.42578125" style="21" customWidth="1"/>
    <col min="5895" max="5895" width="0" style="21" hidden="1" customWidth="1"/>
    <col min="5896" max="5897" width="13.28515625" style="21" customWidth="1"/>
    <col min="5898" max="5898" width="16.28515625" style="21" customWidth="1"/>
    <col min="5899" max="5899" width="20.140625" style="21" customWidth="1"/>
    <col min="5900" max="5900" width="15" style="21" customWidth="1"/>
    <col min="5901" max="5901" width="19.5703125" style="21" customWidth="1"/>
    <col min="5902" max="5904" width="0" style="21" hidden="1" customWidth="1"/>
    <col min="5905" max="6144" width="9.140625" style="21"/>
    <col min="6145" max="6145" width="11.28515625" style="21" customWidth="1"/>
    <col min="6146" max="6146" width="9.42578125" style="21" customWidth="1"/>
    <col min="6147" max="6147" width="11.7109375" style="21" customWidth="1"/>
    <col min="6148" max="6148" width="80.5703125" style="21" customWidth="1"/>
    <col min="6149" max="6149" width="8.7109375" style="21" customWidth="1"/>
    <col min="6150" max="6150" width="14.42578125" style="21" customWidth="1"/>
    <col min="6151" max="6151" width="0" style="21" hidden="1" customWidth="1"/>
    <col min="6152" max="6153" width="13.28515625" style="21" customWidth="1"/>
    <col min="6154" max="6154" width="16.28515625" style="21" customWidth="1"/>
    <col min="6155" max="6155" width="20.140625" style="21" customWidth="1"/>
    <col min="6156" max="6156" width="15" style="21" customWidth="1"/>
    <col min="6157" max="6157" width="19.5703125" style="21" customWidth="1"/>
    <col min="6158" max="6160" width="0" style="21" hidden="1" customWidth="1"/>
    <col min="6161" max="6400" width="9.140625" style="21"/>
    <col min="6401" max="6401" width="11.28515625" style="21" customWidth="1"/>
    <col min="6402" max="6402" width="9.42578125" style="21" customWidth="1"/>
    <col min="6403" max="6403" width="11.7109375" style="21" customWidth="1"/>
    <col min="6404" max="6404" width="80.5703125" style="21" customWidth="1"/>
    <col min="6405" max="6405" width="8.7109375" style="21" customWidth="1"/>
    <col min="6406" max="6406" width="14.42578125" style="21" customWidth="1"/>
    <col min="6407" max="6407" width="0" style="21" hidden="1" customWidth="1"/>
    <col min="6408" max="6409" width="13.28515625" style="21" customWidth="1"/>
    <col min="6410" max="6410" width="16.28515625" style="21" customWidth="1"/>
    <col min="6411" max="6411" width="20.140625" style="21" customWidth="1"/>
    <col min="6412" max="6412" width="15" style="21" customWidth="1"/>
    <col min="6413" max="6413" width="19.5703125" style="21" customWidth="1"/>
    <col min="6414" max="6416" width="0" style="21" hidden="1" customWidth="1"/>
    <col min="6417" max="6656" width="9.140625" style="21"/>
    <col min="6657" max="6657" width="11.28515625" style="21" customWidth="1"/>
    <col min="6658" max="6658" width="9.42578125" style="21" customWidth="1"/>
    <col min="6659" max="6659" width="11.7109375" style="21" customWidth="1"/>
    <col min="6660" max="6660" width="80.5703125" style="21" customWidth="1"/>
    <col min="6661" max="6661" width="8.7109375" style="21" customWidth="1"/>
    <col min="6662" max="6662" width="14.42578125" style="21" customWidth="1"/>
    <col min="6663" max="6663" width="0" style="21" hidden="1" customWidth="1"/>
    <col min="6664" max="6665" width="13.28515625" style="21" customWidth="1"/>
    <col min="6666" max="6666" width="16.28515625" style="21" customWidth="1"/>
    <col min="6667" max="6667" width="20.140625" style="21" customWidth="1"/>
    <col min="6668" max="6668" width="15" style="21" customWidth="1"/>
    <col min="6669" max="6669" width="19.5703125" style="21" customWidth="1"/>
    <col min="6670" max="6672" width="0" style="21" hidden="1" customWidth="1"/>
    <col min="6673" max="6912" width="9.140625" style="21"/>
    <col min="6913" max="6913" width="11.28515625" style="21" customWidth="1"/>
    <col min="6914" max="6914" width="9.42578125" style="21" customWidth="1"/>
    <col min="6915" max="6915" width="11.7109375" style="21" customWidth="1"/>
    <col min="6916" max="6916" width="80.5703125" style="21" customWidth="1"/>
    <col min="6917" max="6917" width="8.7109375" style="21" customWidth="1"/>
    <col min="6918" max="6918" width="14.42578125" style="21" customWidth="1"/>
    <col min="6919" max="6919" width="0" style="21" hidden="1" customWidth="1"/>
    <col min="6920" max="6921" width="13.28515625" style="21" customWidth="1"/>
    <col min="6922" max="6922" width="16.28515625" style="21" customWidth="1"/>
    <col min="6923" max="6923" width="20.140625" style="21" customWidth="1"/>
    <col min="6924" max="6924" width="15" style="21" customWidth="1"/>
    <col min="6925" max="6925" width="19.5703125" style="21" customWidth="1"/>
    <col min="6926" max="6928" width="0" style="21" hidden="1" customWidth="1"/>
    <col min="6929" max="7168" width="9.140625" style="21"/>
    <col min="7169" max="7169" width="11.28515625" style="21" customWidth="1"/>
    <col min="7170" max="7170" width="9.42578125" style="21" customWidth="1"/>
    <col min="7171" max="7171" width="11.7109375" style="21" customWidth="1"/>
    <col min="7172" max="7172" width="80.5703125" style="21" customWidth="1"/>
    <col min="7173" max="7173" width="8.7109375" style="21" customWidth="1"/>
    <col min="7174" max="7174" width="14.42578125" style="21" customWidth="1"/>
    <col min="7175" max="7175" width="0" style="21" hidden="1" customWidth="1"/>
    <col min="7176" max="7177" width="13.28515625" style="21" customWidth="1"/>
    <col min="7178" max="7178" width="16.28515625" style="21" customWidth="1"/>
    <col min="7179" max="7179" width="20.140625" style="21" customWidth="1"/>
    <col min="7180" max="7180" width="15" style="21" customWidth="1"/>
    <col min="7181" max="7181" width="19.5703125" style="21" customWidth="1"/>
    <col min="7182" max="7184" width="0" style="21" hidden="1" customWidth="1"/>
    <col min="7185" max="7424" width="9.140625" style="21"/>
    <col min="7425" max="7425" width="11.28515625" style="21" customWidth="1"/>
    <col min="7426" max="7426" width="9.42578125" style="21" customWidth="1"/>
    <col min="7427" max="7427" width="11.7109375" style="21" customWidth="1"/>
    <col min="7428" max="7428" width="80.5703125" style="21" customWidth="1"/>
    <col min="7429" max="7429" width="8.7109375" style="21" customWidth="1"/>
    <col min="7430" max="7430" width="14.42578125" style="21" customWidth="1"/>
    <col min="7431" max="7431" width="0" style="21" hidden="1" customWidth="1"/>
    <col min="7432" max="7433" width="13.28515625" style="21" customWidth="1"/>
    <col min="7434" max="7434" width="16.28515625" style="21" customWidth="1"/>
    <col min="7435" max="7435" width="20.140625" style="21" customWidth="1"/>
    <col min="7436" max="7436" width="15" style="21" customWidth="1"/>
    <col min="7437" max="7437" width="19.5703125" style="21" customWidth="1"/>
    <col min="7438" max="7440" width="0" style="21" hidden="1" customWidth="1"/>
    <col min="7441" max="7680" width="9.140625" style="21"/>
    <col min="7681" max="7681" width="11.28515625" style="21" customWidth="1"/>
    <col min="7682" max="7682" width="9.42578125" style="21" customWidth="1"/>
    <col min="7683" max="7683" width="11.7109375" style="21" customWidth="1"/>
    <col min="7684" max="7684" width="80.5703125" style="21" customWidth="1"/>
    <col min="7685" max="7685" width="8.7109375" style="21" customWidth="1"/>
    <col min="7686" max="7686" width="14.42578125" style="21" customWidth="1"/>
    <col min="7687" max="7687" width="0" style="21" hidden="1" customWidth="1"/>
    <col min="7688" max="7689" width="13.28515625" style="21" customWidth="1"/>
    <col min="7690" max="7690" width="16.28515625" style="21" customWidth="1"/>
    <col min="7691" max="7691" width="20.140625" style="21" customWidth="1"/>
    <col min="7692" max="7692" width="15" style="21" customWidth="1"/>
    <col min="7693" max="7693" width="19.5703125" style="21" customWidth="1"/>
    <col min="7694" max="7696" width="0" style="21" hidden="1" customWidth="1"/>
    <col min="7697" max="7936" width="9.140625" style="21"/>
    <col min="7937" max="7937" width="11.28515625" style="21" customWidth="1"/>
    <col min="7938" max="7938" width="9.42578125" style="21" customWidth="1"/>
    <col min="7939" max="7939" width="11.7109375" style="21" customWidth="1"/>
    <col min="7940" max="7940" width="80.5703125" style="21" customWidth="1"/>
    <col min="7941" max="7941" width="8.7109375" style="21" customWidth="1"/>
    <col min="7942" max="7942" width="14.42578125" style="21" customWidth="1"/>
    <col min="7943" max="7943" width="0" style="21" hidden="1" customWidth="1"/>
    <col min="7944" max="7945" width="13.28515625" style="21" customWidth="1"/>
    <col min="7946" max="7946" width="16.28515625" style="21" customWidth="1"/>
    <col min="7947" max="7947" width="20.140625" style="21" customWidth="1"/>
    <col min="7948" max="7948" width="15" style="21" customWidth="1"/>
    <col min="7949" max="7949" width="19.5703125" style="21" customWidth="1"/>
    <col min="7950" max="7952" width="0" style="21" hidden="1" customWidth="1"/>
    <col min="7953" max="8192" width="9.140625" style="21"/>
    <col min="8193" max="8193" width="11.28515625" style="21" customWidth="1"/>
    <col min="8194" max="8194" width="9.42578125" style="21" customWidth="1"/>
    <col min="8195" max="8195" width="11.7109375" style="21" customWidth="1"/>
    <col min="8196" max="8196" width="80.5703125" style="21" customWidth="1"/>
    <col min="8197" max="8197" width="8.7109375" style="21" customWidth="1"/>
    <col min="8198" max="8198" width="14.42578125" style="21" customWidth="1"/>
    <col min="8199" max="8199" width="0" style="21" hidden="1" customWidth="1"/>
    <col min="8200" max="8201" width="13.28515625" style="21" customWidth="1"/>
    <col min="8202" max="8202" width="16.28515625" style="21" customWidth="1"/>
    <col min="8203" max="8203" width="20.140625" style="21" customWidth="1"/>
    <col min="8204" max="8204" width="15" style="21" customWidth="1"/>
    <col min="8205" max="8205" width="19.5703125" style="21" customWidth="1"/>
    <col min="8206" max="8208" width="0" style="21" hidden="1" customWidth="1"/>
    <col min="8209" max="8448" width="9.140625" style="21"/>
    <col min="8449" max="8449" width="11.28515625" style="21" customWidth="1"/>
    <col min="8450" max="8450" width="9.42578125" style="21" customWidth="1"/>
    <col min="8451" max="8451" width="11.7109375" style="21" customWidth="1"/>
    <col min="8452" max="8452" width="80.5703125" style="21" customWidth="1"/>
    <col min="8453" max="8453" width="8.7109375" style="21" customWidth="1"/>
    <col min="8454" max="8454" width="14.42578125" style="21" customWidth="1"/>
    <col min="8455" max="8455" width="0" style="21" hidden="1" customWidth="1"/>
    <col min="8456" max="8457" width="13.28515625" style="21" customWidth="1"/>
    <col min="8458" max="8458" width="16.28515625" style="21" customWidth="1"/>
    <col min="8459" max="8459" width="20.140625" style="21" customWidth="1"/>
    <col min="8460" max="8460" width="15" style="21" customWidth="1"/>
    <col min="8461" max="8461" width="19.5703125" style="21" customWidth="1"/>
    <col min="8462" max="8464" width="0" style="21" hidden="1" customWidth="1"/>
    <col min="8465" max="8704" width="9.140625" style="21"/>
    <col min="8705" max="8705" width="11.28515625" style="21" customWidth="1"/>
    <col min="8706" max="8706" width="9.42578125" style="21" customWidth="1"/>
    <col min="8707" max="8707" width="11.7109375" style="21" customWidth="1"/>
    <col min="8708" max="8708" width="80.5703125" style="21" customWidth="1"/>
    <col min="8709" max="8709" width="8.7109375" style="21" customWidth="1"/>
    <col min="8710" max="8710" width="14.42578125" style="21" customWidth="1"/>
    <col min="8711" max="8711" width="0" style="21" hidden="1" customWidth="1"/>
    <col min="8712" max="8713" width="13.28515625" style="21" customWidth="1"/>
    <col min="8714" max="8714" width="16.28515625" style="21" customWidth="1"/>
    <col min="8715" max="8715" width="20.140625" style="21" customWidth="1"/>
    <col min="8716" max="8716" width="15" style="21" customWidth="1"/>
    <col min="8717" max="8717" width="19.5703125" style="21" customWidth="1"/>
    <col min="8718" max="8720" width="0" style="21" hidden="1" customWidth="1"/>
    <col min="8721" max="8960" width="9.140625" style="21"/>
    <col min="8961" max="8961" width="11.28515625" style="21" customWidth="1"/>
    <col min="8962" max="8962" width="9.42578125" style="21" customWidth="1"/>
    <col min="8963" max="8963" width="11.7109375" style="21" customWidth="1"/>
    <col min="8964" max="8964" width="80.5703125" style="21" customWidth="1"/>
    <col min="8965" max="8965" width="8.7109375" style="21" customWidth="1"/>
    <col min="8966" max="8966" width="14.42578125" style="21" customWidth="1"/>
    <col min="8967" max="8967" width="0" style="21" hidden="1" customWidth="1"/>
    <col min="8968" max="8969" width="13.28515625" style="21" customWidth="1"/>
    <col min="8970" max="8970" width="16.28515625" style="21" customWidth="1"/>
    <col min="8971" max="8971" width="20.140625" style="21" customWidth="1"/>
    <col min="8972" max="8972" width="15" style="21" customWidth="1"/>
    <col min="8973" max="8973" width="19.5703125" style="21" customWidth="1"/>
    <col min="8974" max="8976" width="0" style="21" hidden="1" customWidth="1"/>
    <col min="8977" max="9216" width="9.140625" style="21"/>
    <col min="9217" max="9217" width="11.28515625" style="21" customWidth="1"/>
    <col min="9218" max="9218" width="9.42578125" style="21" customWidth="1"/>
    <col min="9219" max="9219" width="11.7109375" style="21" customWidth="1"/>
    <col min="9220" max="9220" width="80.5703125" style="21" customWidth="1"/>
    <col min="9221" max="9221" width="8.7109375" style="21" customWidth="1"/>
    <col min="9222" max="9222" width="14.42578125" style="21" customWidth="1"/>
    <col min="9223" max="9223" width="0" style="21" hidden="1" customWidth="1"/>
    <col min="9224" max="9225" width="13.28515625" style="21" customWidth="1"/>
    <col min="9226" max="9226" width="16.28515625" style="21" customWidth="1"/>
    <col min="9227" max="9227" width="20.140625" style="21" customWidth="1"/>
    <col min="9228" max="9228" width="15" style="21" customWidth="1"/>
    <col min="9229" max="9229" width="19.5703125" style="21" customWidth="1"/>
    <col min="9230" max="9232" width="0" style="21" hidden="1" customWidth="1"/>
    <col min="9233" max="9472" width="9.140625" style="21"/>
    <col min="9473" max="9473" width="11.28515625" style="21" customWidth="1"/>
    <col min="9474" max="9474" width="9.42578125" style="21" customWidth="1"/>
    <col min="9475" max="9475" width="11.7109375" style="21" customWidth="1"/>
    <col min="9476" max="9476" width="80.5703125" style="21" customWidth="1"/>
    <col min="9477" max="9477" width="8.7109375" style="21" customWidth="1"/>
    <col min="9478" max="9478" width="14.42578125" style="21" customWidth="1"/>
    <col min="9479" max="9479" width="0" style="21" hidden="1" customWidth="1"/>
    <col min="9480" max="9481" width="13.28515625" style="21" customWidth="1"/>
    <col min="9482" max="9482" width="16.28515625" style="21" customWidth="1"/>
    <col min="9483" max="9483" width="20.140625" style="21" customWidth="1"/>
    <col min="9484" max="9484" width="15" style="21" customWidth="1"/>
    <col min="9485" max="9485" width="19.5703125" style="21" customWidth="1"/>
    <col min="9486" max="9488" width="0" style="21" hidden="1" customWidth="1"/>
    <col min="9489" max="9728" width="9.140625" style="21"/>
    <col min="9729" max="9729" width="11.28515625" style="21" customWidth="1"/>
    <col min="9730" max="9730" width="9.42578125" style="21" customWidth="1"/>
    <col min="9731" max="9731" width="11.7109375" style="21" customWidth="1"/>
    <col min="9732" max="9732" width="80.5703125" style="21" customWidth="1"/>
    <col min="9733" max="9733" width="8.7109375" style="21" customWidth="1"/>
    <col min="9734" max="9734" width="14.42578125" style="21" customWidth="1"/>
    <col min="9735" max="9735" width="0" style="21" hidden="1" customWidth="1"/>
    <col min="9736" max="9737" width="13.28515625" style="21" customWidth="1"/>
    <col min="9738" max="9738" width="16.28515625" style="21" customWidth="1"/>
    <col min="9739" max="9739" width="20.140625" style="21" customWidth="1"/>
    <col min="9740" max="9740" width="15" style="21" customWidth="1"/>
    <col min="9741" max="9741" width="19.5703125" style="21" customWidth="1"/>
    <col min="9742" max="9744" width="0" style="21" hidden="1" customWidth="1"/>
    <col min="9745" max="9984" width="9.140625" style="21"/>
    <col min="9985" max="9985" width="11.28515625" style="21" customWidth="1"/>
    <col min="9986" max="9986" width="9.42578125" style="21" customWidth="1"/>
    <col min="9987" max="9987" width="11.7109375" style="21" customWidth="1"/>
    <col min="9988" max="9988" width="80.5703125" style="21" customWidth="1"/>
    <col min="9989" max="9989" width="8.7109375" style="21" customWidth="1"/>
    <col min="9990" max="9990" width="14.42578125" style="21" customWidth="1"/>
    <col min="9991" max="9991" width="0" style="21" hidden="1" customWidth="1"/>
    <col min="9992" max="9993" width="13.28515625" style="21" customWidth="1"/>
    <col min="9994" max="9994" width="16.28515625" style="21" customWidth="1"/>
    <col min="9995" max="9995" width="20.140625" style="21" customWidth="1"/>
    <col min="9996" max="9996" width="15" style="21" customWidth="1"/>
    <col min="9997" max="9997" width="19.5703125" style="21" customWidth="1"/>
    <col min="9998" max="10000" width="0" style="21" hidden="1" customWidth="1"/>
    <col min="10001" max="10240" width="9.140625" style="21"/>
    <col min="10241" max="10241" width="11.28515625" style="21" customWidth="1"/>
    <col min="10242" max="10242" width="9.42578125" style="21" customWidth="1"/>
    <col min="10243" max="10243" width="11.7109375" style="21" customWidth="1"/>
    <col min="10244" max="10244" width="80.5703125" style="21" customWidth="1"/>
    <col min="10245" max="10245" width="8.7109375" style="21" customWidth="1"/>
    <col min="10246" max="10246" width="14.42578125" style="21" customWidth="1"/>
    <col min="10247" max="10247" width="0" style="21" hidden="1" customWidth="1"/>
    <col min="10248" max="10249" width="13.28515625" style="21" customWidth="1"/>
    <col min="10250" max="10250" width="16.28515625" style="21" customWidth="1"/>
    <col min="10251" max="10251" width="20.140625" style="21" customWidth="1"/>
    <col min="10252" max="10252" width="15" style="21" customWidth="1"/>
    <col min="10253" max="10253" width="19.5703125" style="21" customWidth="1"/>
    <col min="10254" max="10256" width="0" style="21" hidden="1" customWidth="1"/>
    <col min="10257" max="10496" width="9.140625" style="21"/>
    <col min="10497" max="10497" width="11.28515625" style="21" customWidth="1"/>
    <col min="10498" max="10498" width="9.42578125" style="21" customWidth="1"/>
    <col min="10499" max="10499" width="11.7109375" style="21" customWidth="1"/>
    <col min="10500" max="10500" width="80.5703125" style="21" customWidth="1"/>
    <col min="10501" max="10501" width="8.7109375" style="21" customWidth="1"/>
    <col min="10502" max="10502" width="14.42578125" style="21" customWidth="1"/>
    <col min="10503" max="10503" width="0" style="21" hidden="1" customWidth="1"/>
    <col min="10504" max="10505" width="13.28515625" style="21" customWidth="1"/>
    <col min="10506" max="10506" width="16.28515625" style="21" customWidth="1"/>
    <col min="10507" max="10507" width="20.140625" style="21" customWidth="1"/>
    <col min="10508" max="10508" width="15" style="21" customWidth="1"/>
    <col min="10509" max="10509" width="19.5703125" style="21" customWidth="1"/>
    <col min="10510" max="10512" width="0" style="21" hidden="1" customWidth="1"/>
    <col min="10513" max="10752" width="9.140625" style="21"/>
    <col min="10753" max="10753" width="11.28515625" style="21" customWidth="1"/>
    <col min="10754" max="10754" width="9.42578125" style="21" customWidth="1"/>
    <col min="10755" max="10755" width="11.7109375" style="21" customWidth="1"/>
    <col min="10756" max="10756" width="80.5703125" style="21" customWidth="1"/>
    <col min="10757" max="10757" width="8.7109375" style="21" customWidth="1"/>
    <col min="10758" max="10758" width="14.42578125" style="21" customWidth="1"/>
    <col min="10759" max="10759" width="0" style="21" hidden="1" customWidth="1"/>
    <col min="10760" max="10761" width="13.28515625" style="21" customWidth="1"/>
    <col min="10762" max="10762" width="16.28515625" style="21" customWidth="1"/>
    <col min="10763" max="10763" width="20.140625" style="21" customWidth="1"/>
    <col min="10764" max="10764" width="15" style="21" customWidth="1"/>
    <col min="10765" max="10765" width="19.5703125" style="21" customWidth="1"/>
    <col min="10766" max="10768" width="0" style="21" hidden="1" customWidth="1"/>
    <col min="10769" max="11008" width="9.140625" style="21"/>
    <col min="11009" max="11009" width="11.28515625" style="21" customWidth="1"/>
    <col min="11010" max="11010" width="9.42578125" style="21" customWidth="1"/>
    <col min="11011" max="11011" width="11.7109375" style="21" customWidth="1"/>
    <col min="11012" max="11012" width="80.5703125" style="21" customWidth="1"/>
    <col min="11013" max="11013" width="8.7109375" style="21" customWidth="1"/>
    <col min="11014" max="11014" width="14.42578125" style="21" customWidth="1"/>
    <col min="11015" max="11015" width="0" style="21" hidden="1" customWidth="1"/>
    <col min="11016" max="11017" width="13.28515625" style="21" customWidth="1"/>
    <col min="11018" max="11018" width="16.28515625" style="21" customWidth="1"/>
    <col min="11019" max="11019" width="20.140625" style="21" customWidth="1"/>
    <col min="11020" max="11020" width="15" style="21" customWidth="1"/>
    <col min="11021" max="11021" width="19.5703125" style="21" customWidth="1"/>
    <col min="11022" max="11024" width="0" style="21" hidden="1" customWidth="1"/>
    <col min="11025" max="11264" width="9.140625" style="21"/>
    <col min="11265" max="11265" width="11.28515625" style="21" customWidth="1"/>
    <col min="11266" max="11266" width="9.42578125" style="21" customWidth="1"/>
    <col min="11267" max="11267" width="11.7109375" style="21" customWidth="1"/>
    <col min="11268" max="11268" width="80.5703125" style="21" customWidth="1"/>
    <col min="11269" max="11269" width="8.7109375" style="21" customWidth="1"/>
    <col min="11270" max="11270" width="14.42578125" style="21" customWidth="1"/>
    <col min="11271" max="11271" width="0" style="21" hidden="1" customWidth="1"/>
    <col min="11272" max="11273" width="13.28515625" style="21" customWidth="1"/>
    <col min="11274" max="11274" width="16.28515625" style="21" customWidth="1"/>
    <col min="11275" max="11275" width="20.140625" style="21" customWidth="1"/>
    <col min="11276" max="11276" width="15" style="21" customWidth="1"/>
    <col min="11277" max="11277" width="19.5703125" style="21" customWidth="1"/>
    <col min="11278" max="11280" width="0" style="21" hidden="1" customWidth="1"/>
    <col min="11281" max="11520" width="9.140625" style="21"/>
    <col min="11521" max="11521" width="11.28515625" style="21" customWidth="1"/>
    <col min="11522" max="11522" width="9.42578125" style="21" customWidth="1"/>
    <col min="11523" max="11523" width="11.7109375" style="21" customWidth="1"/>
    <col min="11524" max="11524" width="80.5703125" style="21" customWidth="1"/>
    <col min="11525" max="11525" width="8.7109375" style="21" customWidth="1"/>
    <col min="11526" max="11526" width="14.42578125" style="21" customWidth="1"/>
    <col min="11527" max="11527" width="0" style="21" hidden="1" customWidth="1"/>
    <col min="11528" max="11529" width="13.28515625" style="21" customWidth="1"/>
    <col min="11530" max="11530" width="16.28515625" style="21" customWidth="1"/>
    <col min="11531" max="11531" width="20.140625" style="21" customWidth="1"/>
    <col min="11532" max="11532" width="15" style="21" customWidth="1"/>
    <col min="11533" max="11533" width="19.5703125" style="21" customWidth="1"/>
    <col min="11534" max="11536" width="0" style="21" hidden="1" customWidth="1"/>
    <col min="11537" max="11776" width="9.140625" style="21"/>
    <col min="11777" max="11777" width="11.28515625" style="21" customWidth="1"/>
    <col min="11778" max="11778" width="9.42578125" style="21" customWidth="1"/>
    <col min="11779" max="11779" width="11.7109375" style="21" customWidth="1"/>
    <col min="11780" max="11780" width="80.5703125" style="21" customWidth="1"/>
    <col min="11781" max="11781" width="8.7109375" style="21" customWidth="1"/>
    <col min="11782" max="11782" width="14.42578125" style="21" customWidth="1"/>
    <col min="11783" max="11783" width="0" style="21" hidden="1" customWidth="1"/>
    <col min="11784" max="11785" width="13.28515625" style="21" customWidth="1"/>
    <col min="11786" max="11786" width="16.28515625" style="21" customWidth="1"/>
    <col min="11787" max="11787" width="20.140625" style="21" customWidth="1"/>
    <col min="11788" max="11788" width="15" style="21" customWidth="1"/>
    <col min="11789" max="11789" width="19.5703125" style="21" customWidth="1"/>
    <col min="11790" max="11792" width="0" style="21" hidden="1" customWidth="1"/>
    <col min="11793" max="12032" width="9.140625" style="21"/>
    <col min="12033" max="12033" width="11.28515625" style="21" customWidth="1"/>
    <col min="12034" max="12034" width="9.42578125" style="21" customWidth="1"/>
    <col min="12035" max="12035" width="11.7109375" style="21" customWidth="1"/>
    <col min="12036" max="12036" width="80.5703125" style="21" customWidth="1"/>
    <col min="12037" max="12037" width="8.7109375" style="21" customWidth="1"/>
    <col min="12038" max="12038" width="14.42578125" style="21" customWidth="1"/>
    <col min="12039" max="12039" width="0" style="21" hidden="1" customWidth="1"/>
    <col min="12040" max="12041" width="13.28515625" style="21" customWidth="1"/>
    <col min="12042" max="12042" width="16.28515625" style="21" customWidth="1"/>
    <col min="12043" max="12043" width="20.140625" style="21" customWidth="1"/>
    <col min="12044" max="12044" width="15" style="21" customWidth="1"/>
    <col min="12045" max="12045" width="19.5703125" style="21" customWidth="1"/>
    <col min="12046" max="12048" width="0" style="21" hidden="1" customWidth="1"/>
    <col min="12049" max="12288" width="9.140625" style="21"/>
    <col min="12289" max="12289" width="11.28515625" style="21" customWidth="1"/>
    <col min="12290" max="12290" width="9.42578125" style="21" customWidth="1"/>
    <col min="12291" max="12291" width="11.7109375" style="21" customWidth="1"/>
    <col min="12292" max="12292" width="80.5703125" style="21" customWidth="1"/>
    <col min="12293" max="12293" width="8.7109375" style="21" customWidth="1"/>
    <col min="12294" max="12294" width="14.42578125" style="21" customWidth="1"/>
    <col min="12295" max="12295" width="0" style="21" hidden="1" customWidth="1"/>
    <col min="12296" max="12297" width="13.28515625" style="21" customWidth="1"/>
    <col min="12298" max="12298" width="16.28515625" style="21" customWidth="1"/>
    <col min="12299" max="12299" width="20.140625" style="21" customWidth="1"/>
    <col min="12300" max="12300" width="15" style="21" customWidth="1"/>
    <col min="12301" max="12301" width="19.5703125" style="21" customWidth="1"/>
    <col min="12302" max="12304" width="0" style="21" hidden="1" customWidth="1"/>
    <col min="12305" max="12544" width="9.140625" style="21"/>
    <col min="12545" max="12545" width="11.28515625" style="21" customWidth="1"/>
    <col min="12546" max="12546" width="9.42578125" style="21" customWidth="1"/>
    <col min="12547" max="12547" width="11.7109375" style="21" customWidth="1"/>
    <col min="12548" max="12548" width="80.5703125" style="21" customWidth="1"/>
    <col min="12549" max="12549" width="8.7109375" style="21" customWidth="1"/>
    <col min="12550" max="12550" width="14.42578125" style="21" customWidth="1"/>
    <col min="12551" max="12551" width="0" style="21" hidden="1" customWidth="1"/>
    <col min="12552" max="12553" width="13.28515625" style="21" customWidth="1"/>
    <col min="12554" max="12554" width="16.28515625" style="21" customWidth="1"/>
    <col min="12555" max="12555" width="20.140625" style="21" customWidth="1"/>
    <col min="12556" max="12556" width="15" style="21" customWidth="1"/>
    <col min="12557" max="12557" width="19.5703125" style="21" customWidth="1"/>
    <col min="12558" max="12560" width="0" style="21" hidden="1" customWidth="1"/>
    <col min="12561" max="12800" width="9.140625" style="21"/>
    <col min="12801" max="12801" width="11.28515625" style="21" customWidth="1"/>
    <col min="12802" max="12802" width="9.42578125" style="21" customWidth="1"/>
    <col min="12803" max="12803" width="11.7109375" style="21" customWidth="1"/>
    <col min="12804" max="12804" width="80.5703125" style="21" customWidth="1"/>
    <col min="12805" max="12805" width="8.7109375" style="21" customWidth="1"/>
    <col min="12806" max="12806" width="14.42578125" style="21" customWidth="1"/>
    <col min="12807" max="12807" width="0" style="21" hidden="1" customWidth="1"/>
    <col min="12808" max="12809" width="13.28515625" style="21" customWidth="1"/>
    <col min="12810" max="12810" width="16.28515625" style="21" customWidth="1"/>
    <col min="12811" max="12811" width="20.140625" style="21" customWidth="1"/>
    <col min="12812" max="12812" width="15" style="21" customWidth="1"/>
    <col min="12813" max="12813" width="19.5703125" style="21" customWidth="1"/>
    <col min="12814" max="12816" width="0" style="21" hidden="1" customWidth="1"/>
    <col min="12817" max="13056" width="9.140625" style="21"/>
    <col min="13057" max="13057" width="11.28515625" style="21" customWidth="1"/>
    <col min="13058" max="13058" width="9.42578125" style="21" customWidth="1"/>
    <col min="13059" max="13059" width="11.7109375" style="21" customWidth="1"/>
    <col min="13060" max="13060" width="80.5703125" style="21" customWidth="1"/>
    <col min="13061" max="13061" width="8.7109375" style="21" customWidth="1"/>
    <col min="13062" max="13062" width="14.42578125" style="21" customWidth="1"/>
    <col min="13063" max="13063" width="0" style="21" hidden="1" customWidth="1"/>
    <col min="13064" max="13065" width="13.28515625" style="21" customWidth="1"/>
    <col min="13066" max="13066" width="16.28515625" style="21" customWidth="1"/>
    <col min="13067" max="13067" width="20.140625" style="21" customWidth="1"/>
    <col min="13068" max="13068" width="15" style="21" customWidth="1"/>
    <col min="13069" max="13069" width="19.5703125" style="21" customWidth="1"/>
    <col min="13070" max="13072" width="0" style="21" hidden="1" customWidth="1"/>
    <col min="13073" max="13312" width="9.140625" style="21"/>
    <col min="13313" max="13313" width="11.28515625" style="21" customWidth="1"/>
    <col min="13314" max="13314" width="9.42578125" style="21" customWidth="1"/>
    <col min="13315" max="13315" width="11.7109375" style="21" customWidth="1"/>
    <col min="13316" max="13316" width="80.5703125" style="21" customWidth="1"/>
    <col min="13317" max="13317" width="8.7109375" style="21" customWidth="1"/>
    <col min="13318" max="13318" width="14.42578125" style="21" customWidth="1"/>
    <col min="13319" max="13319" width="0" style="21" hidden="1" customWidth="1"/>
    <col min="13320" max="13321" width="13.28515625" style="21" customWidth="1"/>
    <col min="13322" max="13322" width="16.28515625" style="21" customWidth="1"/>
    <col min="13323" max="13323" width="20.140625" style="21" customWidth="1"/>
    <col min="13324" max="13324" width="15" style="21" customWidth="1"/>
    <col min="13325" max="13325" width="19.5703125" style="21" customWidth="1"/>
    <col min="13326" max="13328" width="0" style="21" hidden="1" customWidth="1"/>
    <col min="13329" max="13568" width="9.140625" style="21"/>
    <col min="13569" max="13569" width="11.28515625" style="21" customWidth="1"/>
    <col min="13570" max="13570" width="9.42578125" style="21" customWidth="1"/>
    <col min="13571" max="13571" width="11.7109375" style="21" customWidth="1"/>
    <col min="13572" max="13572" width="80.5703125" style="21" customWidth="1"/>
    <col min="13573" max="13573" width="8.7109375" style="21" customWidth="1"/>
    <col min="13574" max="13574" width="14.42578125" style="21" customWidth="1"/>
    <col min="13575" max="13575" width="0" style="21" hidden="1" customWidth="1"/>
    <col min="13576" max="13577" width="13.28515625" style="21" customWidth="1"/>
    <col min="13578" max="13578" width="16.28515625" style="21" customWidth="1"/>
    <col min="13579" max="13579" width="20.140625" style="21" customWidth="1"/>
    <col min="13580" max="13580" width="15" style="21" customWidth="1"/>
    <col min="13581" max="13581" width="19.5703125" style="21" customWidth="1"/>
    <col min="13582" max="13584" width="0" style="21" hidden="1" customWidth="1"/>
    <col min="13585" max="13824" width="9.140625" style="21"/>
    <col min="13825" max="13825" width="11.28515625" style="21" customWidth="1"/>
    <col min="13826" max="13826" width="9.42578125" style="21" customWidth="1"/>
    <col min="13827" max="13827" width="11.7109375" style="21" customWidth="1"/>
    <col min="13828" max="13828" width="80.5703125" style="21" customWidth="1"/>
    <col min="13829" max="13829" width="8.7109375" style="21" customWidth="1"/>
    <col min="13830" max="13830" width="14.42578125" style="21" customWidth="1"/>
    <col min="13831" max="13831" width="0" style="21" hidden="1" customWidth="1"/>
    <col min="13832" max="13833" width="13.28515625" style="21" customWidth="1"/>
    <col min="13834" max="13834" width="16.28515625" style="21" customWidth="1"/>
    <col min="13835" max="13835" width="20.140625" style="21" customWidth="1"/>
    <col min="13836" max="13836" width="15" style="21" customWidth="1"/>
    <col min="13837" max="13837" width="19.5703125" style="21" customWidth="1"/>
    <col min="13838" max="13840" width="0" style="21" hidden="1" customWidth="1"/>
    <col min="13841" max="14080" width="9.140625" style="21"/>
    <col min="14081" max="14081" width="11.28515625" style="21" customWidth="1"/>
    <col min="14082" max="14082" width="9.42578125" style="21" customWidth="1"/>
    <col min="14083" max="14083" width="11.7109375" style="21" customWidth="1"/>
    <col min="14084" max="14084" width="80.5703125" style="21" customWidth="1"/>
    <col min="14085" max="14085" width="8.7109375" style="21" customWidth="1"/>
    <col min="14086" max="14086" width="14.42578125" style="21" customWidth="1"/>
    <col min="14087" max="14087" width="0" style="21" hidden="1" customWidth="1"/>
    <col min="14088" max="14089" width="13.28515625" style="21" customWidth="1"/>
    <col min="14090" max="14090" width="16.28515625" style="21" customWidth="1"/>
    <col min="14091" max="14091" width="20.140625" style="21" customWidth="1"/>
    <col min="14092" max="14092" width="15" style="21" customWidth="1"/>
    <col min="14093" max="14093" width="19.5703125" style="21" customWidth="1"/>
    <col min="14094" max="14096" width="0" style="21" hidden="1" customWidth="1"/>
    <col min="14097" max="14336" width="9.140625" style="21"/>
    <col min="14337" max="14337" width="11.28515625" style="21" customWidth="1"/>
    <col min="14338" max="14338" width="9.42578125" style="21" customWidth="1"/>
    <col min="14339" max="14339" width="11.7109375" style="21" customWidth="1"/>
    <col min="14340" max="14340" width="80.5703125" style="21" customWidth="1"/>
    <col min="14341" max="14341" width="8.7109375" style="21" customWidth="1"/>
    <col min="14342" max="14342" width="14.42578125" style="21" customWidth="1"/>
    <col min="14343" max="14343" width="0" style="21" hidden="1" customWidth="1"/>
    <col min="14344" max="14345" width="13.28515625" style="21" customWidth="1"/>
    <col min="14346" max="14346" width="16.28515625" style="21" customWidth="1"/>
    <col min="14347" max="14347" width="20.140625" style="21" customWidth="1"/>
    <col min="14348" max="14348" width="15" style="21" customWidth="1"/>
    <col min="14349" max="14349" width="19.5703125" style="21" customWidth="1"/>
    <col min="14350" max="14352" width="0" style="21" hidden="1" customWidth="1"/>
    <col min="14353" max="14592" width="9.140625" style="21"/>
    <col min="14593" max="14593" width="11.28515625" style="21" customWidth="1"/>
    <col min="14594" max="14594" width="9.42578125" style="21" customWidth="1"/>
    <col min="14595" max="14595" width="11.7109375" style="21" customWidth="1"/>
    <col min="14596" max="14596" width="80.5703125" style="21" customWidth="1"/>
    <col min="14597" max="14597" width="8.7109375" style="21" customWidth="1"/>
    <col min="14598" max="14598" width="14.42578125" style="21" customWidth="1"/>
    <col min="14599" max="14599" width="0" style="21" hidden="1" customWidth="1"/>
    <col min="14600" max="14601" width="13.28515625" style="21" customWidth="1"/>
    <col min="14602" max="14602" width="16.28515625" style="21" customWidth="1"/>
    <col min="14603" max="14603" width="20.140625" style="21" customWidth="1"/>
    <col min="14604" max="14604" width="15" style="21" customWidth="1"/>
    <col min="14605" max="14605" width="19.5703125" style="21" customWidth="1"/>
    <col min="14606" max="14608" width="0" style="21" hidden="1" customWidth="1"/>
    <col min="14609" max="14848" width="9.140625" style="21"/>
    <col min="14849" max="14849" width="11.28515625" style="21" customWidth="1"/>
    <col min="14850" max="14850" width="9.42578125" style="21" customWidth="1"/>
    <col min="14851" max="14851" width="11.7109375" style="21" customWidth="1"/>
    <col min="14852" max="14852" width="80.5703125" style="21" customWidth="1"/>
    <col min="14853" max="14853" width="8.7109375" style="21" customWidth="1"/>
    <col min="14854" max="14854" width="14.42578125" style="21" customWidth="1"/>
    <col min="14855" max="14855" width="0" style="21" hidden="1" customWidth="1"/>
    <col min="14856" max="14857" width="13.28515625" style="21" customWidth="1"/>
    <col min="14858" max="14858" width="16.28515625" style="21" customWidth="1"/>
    <col min="14859" max="14859" width="20.140625" style="21" customWidth="1"/>
    <col min="14860" max="14860" width="15" style="21" customWidth="1"/>
    <col min="14861" max="14861" width="19.5703125" style="21" customWidth="1"/>
    <col min="14862" max="14864" width="0" style="21" hidden="1" customWidth="1"/>
    <col min="14865" max="15104" width="9.140625" style="21"/>
    <col min="15105" max="15105" width="11.28515625" style="21" customWidth="1"/>
    <col min="15106" max="15106" width="9.42578125" style="21" customWidth="1"/>
    <col min="15107" max="15107" width="11.7109375" style="21" customWidth="1"/>
    <col min="15108" max="15108" width="80.5703125" style="21" customWidth="1"/>
    <col min="15109" max="15109" width="8.7109375" style="21" customWidth="1"/>
    <col min="15110" max="15110" width="14.42578125" style="21" customWidth="1"/>
    <col min="15111" max="15111" width="0" style="21" hidden="1" customWidth="1"/>
    <col min="15112" max="15113" width="13.28515625" style="21" customWidth="1"/>
    <col min="15114" max="15114" width="16.28515625" style="21" customWidth="1"/>
    <col min="15115" max="15115" width="20.140625" style="21" customWidth="1"/>
    <col min="15116" max="15116" width="15" style="21" customWidth="1"/>
    <col min="15117" max="15117" width="19.5703125" style="21" customWidth="1"/>
    <col min="15118" max="15120" width="0" style="21" hidden="1" customWidth="1"/>
    <col min="15121" max="15360" width="9.140625" style="21"/>
    <col min="15361" max="15361" width="11.28515625" style="21" customWidth="1"/>
    <col min="15362" max="15362" width="9.42578125" style="21" customWidth="1"/>
    <col min="15363" max="15363" width="11.7109375" style="21" customWidth="1"/>
    <col min="15364" max="15364" width="80.5703125" style="21" customWidth="1"/>
    <col min="15365" max="15365" width="8.7109375" style="21" customWidth="1"/>
    <col min="15366" max="15366" width="14.42578125" style="21" customWidth="1"/>
    <col min="15367" max="15367" width="0" style="21" hidden="1" customWidth="1"/>
    <col min="15368" max="15369" width="13.28515625" style="21" customWidth="1"/>
    <col min="15370" max="15370" width="16.28515625" style="21" customWidth="1"/>
    <col min="15371" max="15371" width="20.140625" style="21" customWidth="1"/>
    <col min="15372" max="15372" width="15" style="21" customWidth="1"/>
    <col min="15373" max="15373" width="19.5703125" style="21" customWidth="1"/>
    <col min="15374" max="15376" width="0" style="21" hidden="1" customWidth="1"/>
    <col min="15377" max="15616" width="9.140625" style="21"/>
    <col min="15617" max="15617" width="11.28515625" style="21" customWidth="1"/>
    <col min="15618" max="15618" width="9.42578125" style="21" customWidth="1"/>
    <col min="15619" max="15619" width="11.7109375" style="21" customWidth="1"/>
    <col min="15620" max="15620" width="80.5703125" style="21" customWidth="1"/>
    <col min="15621" max="15621" width="8.7109375" style="21" customWidth="1"/>
    <col min="15622" max="15622" width="14.42578125" style="21" customWidth="1"/>
    <col min="15623" max="15623" width="0" style="21" hidden="1" customWidth="1"/>
    <col min="15624" max="15625" width="13.28515625" style="21" customWidth="1"/>
    <col min="15626" max="15626" width="16.28515625" style="21" customWidth="1"/>
    <col min="15627" max="15627" width="20.140625" style="21" customWidth="1"/>
    <col min="15628" max="15628" width="15" style="21" customWidth="1"/>
    <col min="15629" max="15629" width="19.5703125" style="21" customWidth="1"/>
    <col min="15630" max="15632" width="0" style="21" hidden="1" customWidth="1"/>
    <col min="15633" max="15872" width="9.140625" style="21"/>
    <col min="15873" max="15873" width="11.28515625" style="21" customWidth="1"/>
    <col min="15874" max="15874" width="9.42578125" style="21" customWidth="1"/>
    <col min="15875" max="15875" width="11.7109375" style="21" customWidth="1"/>
    <col min="15876" max="15876" width="80.5703125" style="21" customWidth="1"/>
    <col min="15877" max="15877" width="8.7109375" style="21" customWidth="1"/>
    <col min="15878" max="15878" width="14.42578125" style="21" customWidth="1"/>
    <col min="15879" max="15879" width="0" style="21" hidden="1" customWidth="1"/>
    <col min="15880" max="15881" width="13.28515625" style="21" customWidth="1"/>
    <col min="15882" max="15882" width="16.28515625" style="21" customWidth="1"/>
    <col min="15883" max="15883" width="20.140625" style="21" customWidth="1"/>
    <col min="15884" max="15884" width="15" style="21" customWidth="1"/>
    <col min="15885" max="15885" width="19.5703125" style="21" customWidth="1"/>
    <col min="15886" max="15888" width="0" style="21" hidden="1" customWidth="1"/>
    <col min="15889" max="16128" width="9.140625" style="21"/>
    <col min="16129" max="16129" width="11.28515625" style="21" customWidth="1"/>
    <col min="16130" max="16130" width="9.42578125" style="21" customWidth="1"/>
    <col min="16131" max="16131" width="11.7109375" style="21" customWidth="1"/>
    <col min="16132" max="16132" width="80.5703125" style="21" customWidth="1"/>
    <col min="16133" max="16133" width="8.7109375" style="21" customWidth="1"/>
    <col min="16134" max="16134" width="14.42578125" style="21" customWidth="1"/>
    <col min="16135" max="16135" width="0" style="21" hidden="1" customWidth="1"/>
    <col min="16136" max="16137" width="13.28515625" style="21" customWidth="1"/>
    <col min="16138" max="16138" width="16.28515625" style="21" customWidth="1"/>
    <col min="16139" max="16139" width="20.140625" style="21" customWidth="1"/>
    <col min="16140" max="16140" width="15" style="21" customWidth="1"/>
    <col min="16141" max="16141" width="19.5703125" style="21" customWidth="1"/>
    <col min="16142" max="16144" width="0" style="21" hidden="1" customWidth="1"/>
    <col min="16145" max="16384" width="9.140625" style="21"/>
  </cols>
  <sheetData>
    <row r="1" spans="1:31" s="1" customFormat="1" ht="21.95" customHeight="1" x14ac:dyDescent="0.25">
      <c r="A1" s="346" t="s">
        <v>88</v>
      </c>
      <c r="B1" s="347"/>
      <c r="C1" s="347"/>
      <c r="D1" s="347"/>
      <c r="E1" s="347"/>
      <c r="F1" s="347"/>
      <c r="G1" s="347"/>
      <c r="H1" s="347"/>
      <c r="I1" s="347"/>
      <c r="J1" s="347"/>
      <c r="K1" s="22"/>
    </row>
    <row r="2" spans="1:31" s="2" customFormat="1" ht="18" x14ac:dyDescent="0.25">
      <c r="A2" s="348" t="s">
        <v>89</v>
      </c>
      <c r="B2" s="348"/>
      <c r="C2" s="348"/>
      <c r="D2" s="348"/>
      <c r="E2" s="348"/>
      <c r="F2" s="348"/>
      <c r="G2" s="348"/>
      <c r="H2" s="348"/>
      <c r="I2" s="348"/>
      <c r="J2" s="348"/>
      <c r="K2" s="23"/>
    </row>
    <row r="3" spans="1:31" s="2" customFormat="1" ht="18" x14ac:dyDescent="0.25">
      <c r="A3" s="348" t="s">
        <v>274</v>
      </c>
      <c r="B3" s="348"/>
      <c r="C3" s="348"/>
      <c r="D3" s="348"/>
      <c r="E3" s="348"/>
      <c r="F3" s="348"/>
      <c r="G3" s="348"/>
      <c r="H3" s="348"/>
      <c r="I3" s="348"/>
      <c r="J3" s="348"/>
      <c r="K3" s="23"/>
    </row>
    <row r="4" spans="1:31" s="2" customFormat="1" ht="15" x14ac:dyDescent="0.25">
      <c r="A4" s="349" t="s">
        <v>214</v>
      </c>
      <c r="B4" s="349"/>
      <c r="C4" s="349"/>
      <c r="D4" s="349"/>
      <c r="E4" s="349"/>
      <c r="F4" s="349"/>
      <c r="G4" s="349"/>
      <c r="H4" s="349"/>
      <c r="I4" s="349"/>
      <c r="J4" s="349"/>
      <c r="K4" s="23"/>
    </row>
    <row r="5" spans="1:31" s="2" customFormat="1" ht="12.75" customHeight="1" x14ac:dyDescent="0.25">
      <c r="A5" s="351" t="s">
        <v>519</v>
      </c>
      <c r="B5" s="352"/>
      <c r="C5" s="352"/>
      <c r="D5" s="353"/>
      <c r="E5" s="145"/>
      <c r="F5" s="145"/>
      <c r="G5" s="145"/>
      <c r="H5" s="145"/>
      <c r="I5" s="145"/>
      <c r="J5" s="145"/>
      <c r="K5" s="23"/>
    </row>
    <row r="6" spans="1:31" s="2" customFormat="1" ht="12.75" customHeight="1" x14ac:dyDescent="0.25">
      <c r="A6" s="351" t="s">
        <v>520</v>
      </c>
      <c r="B6" s="352"/>
      <c r="C6" s="352"/>
      <c r="D6" s="353"/>
      <c r="E6" s="78"/>
      <c r="F6" s="78"/>
      <c r="G6" s="78"/>
      <c r="H6" s="78"/>
      <c r="I6" s="78"/>
      <c r="J6" s="78"/>
      <c r="K6" s="23"/>
    </row>
    <row r="7" spans="1:31" s="59" customFormat="1" ht="18" x14ac:dyDescent="0.2">
      <c r="A7" s="350" t="s">
        <v>217</v>
      </c>
      <c r="B7" s="350"/>
      <c r="C7" s="350"/>
      <c r="D7" s="350"/>
      <c r="E7" s="350"/>
      <c r="F7" s="350"/>
      <c r="G7" s="350"/>
      <c r="H7" s="350"/>
      <c r="I7" s="350"/>
      <c r="J7" s="350"/>
      <c r="K7" s="157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s="3" customFormat="1" ht="15" customHeight="1" x14ac:dyDescent="0.2">
      <c r="A8" s="343" t="s">
        <v>91</v>
      </c>
      <c r="B8" s="343" t="s">
        <v>92</v>
      </c>
      <c r="C8" s="343" t="s">
        <v>93</v>
      </c>
      <c r="D8" s="343" t="s">
        <v>94</v>
      </c>
      <c r="E8" s="343" t="s">
        <v>95</v>
      </c>
      <c r="F8" s="343" t="s">
        <v>96</v>
      </c>
      <c r="G8" s="343" t="s">
        <v>169</v>
      </c>
      <c r="H8" s="343" t="s">
        <v>169</v>
      </c>
      <c r="I8" s="343" t="s">
        <v>170</v>
      </c>
      <c r="J8" s="343" t="s">
        <v>171</v>
      </c>
      <c r="K8" s="265"/>
    </row>
    <row r="9" spans="1:31" s="3" customFormat="1" ht="12" x14ac:dyDescent="0.2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24"/>
    </row>
    <row r="10" spans="1:31" s="8" customFormat="1" ht="12" x14ac:dyDescent="0.2">
      <c r="A10" s="4">
        <v>0</v>
      </c>
      <c r="B10" s="79"/>
      <c r="C10" s="5"/>
      <c r="D10" s="6" t="s">
        <v>97</v>
      </c>
      <c r="E10" s="35"/>
      <c r="F10" s="7"/>
      <c r="G10" s="25"/>
      <c r="H10" s="25"/>
      <c r="I10" s="7"/>
      <c r="J10" s="7"/>
      <c r="K10" s="24"/>
      <c r="N10" s="9"/>
      <c r="O10" s="9"/>
      <c r="P10" s="9"/>
    </row>
    <row r="11" spans="1:31" s="58" customFormat="1" ht="12" x14ac:dyDescent="0.2">
      <c r="A11" s="38" t="s">
        <v>310</v>
      </c>
      <c r="B11" s="39"/>
      <c r="C11" s="39" t="s">
        <v>100</v>
      </c>
      <c r="D11" s="40" t="s">
        <v>447</v>
      </c>
      <c r="E11" s="41" t="s">
        <v>395</v>
      </c>
      <c r="F11" s="42">
        <v>12</v>
      </c>
      <c r="G11" s="42">
        <v>166732.84</v>
      </c>
      <c r="H11" s="42">
        <f>COMP!E17</f>
        <v>9245.8582000000006</v>
      </c>
      <c r="I11" s="42">
        <f>ROUND(H11*(1+$E$168),2)</f>
        <v>11184.71</v>
      </c>
      <c r="J11" s="446">
        <f>ROUND(F11*I11,2)</f>
        <v>134216.51999999999</v>
      </c>
      <c r="K11" s="450"/>
      <c r="L11" s="26"/>
      <c r="M11" s="15"/>
      <c r="N11" s="9"/>
      <c r="O11" s="9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s="58" customFormat="1" ht="12" x14ac:dyDescent="0.2">
      <c r="A12" s="38" t="s">
        <v>311</v>
      </c>
      <c r="B12" s="39"/>
      <c r="C12" s="39" t="s">
        <v>100</v>
      </c>
      <c r="D12" s="40" t="s">
        <v>448</v>
      </c>
      <c r="E12" s="41" t="s">
        <v>7</v>
      </c>
      <c r="F12" s="42">
        <v>1</v>
      </c>
      <c r="G12" s="42">
        <v>61288.78</v>
      </c>
      <c r="H12" s="42">
        <v>6525.37</v>
      </c>
      <c r="I12" s="42">
        <f>ROUND(H12*(1+$E$168),2)</f>
        <v>7893.74</v>
      </c>
      <c r="J12" s="446">
        <f t="shared" ref="J12" si="0">ROUND(F12*I12,2)</f>
        <v>7893.74</v>
      </c>
      <c r="K12" s="450"/>
      <c r="L12" s="26"/>
      <c r="M12" s="15"/>
      <c r="N12" s="9"/>
      <c r="O12" s="9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s="58" customFormat="1" ht="12" x14ac:dyDescent="0.2">
      <c r="A13" s="38" t="s">
        <v>312</v>
      </c>
      <c r="B13" s="39"/>
      <c r="C13" s="39" t="s">
        <v>100</v>
      </c>
      <c r="D13" s="40" t="s">
        <v>449</v>
      </c>
      <c r="E13" s="41" t="s">
        <v>7</v>
      </c>
      <c r="F13" s="42">
        <v>1</v>
      </c>
      <c r="G13" s="42">
        <v>166732.84</v>
      </c>
      <c r="H13" s="42">
        <v>6525.37</v>
      </c>
      <c r="I13" s="42">
        <f>ROUND(H13*(1+$E$168),2)</f>
        <v>7893.74</v>
      </c>
      <c r="J13" s="446">
        <f t="shared" ref="J13:J15" si="1">ROUND(F13*I13,2)</f>
        <v>7893.74</v>
      </c>
      <c r="K13" s="450"/>
      <c r="L13" s="26"/>
      <c r="M13" s="15"/>
      <c r="N13" s="9"/>
      <c r="O13" s="9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8" customFormat="1" ht="12" x14ac:dyDescent="0.2">
      <c r="A14" s="53" t="s">
        <v>393</v>
      </c>
      <c r="B14" s="60"/>
      <c r="C14" s="60"/>
      <c r="D14" s="111" t="s">
        <v>450</v>
      </c>
      <c r="E14" s="62"/>
      <c r="F14" s="63"/>
      <c r="G14" s="63">
        <v>166732.84</v>
      </c>
      <c r="H14" s="63"/>
      <c r="I14" s="63"/>
      <c r="J14" s="447"/>
      <c r="K14" s="450"/>
      <c r="L14" s="26"/>
      <c r="M14" s="15"/>
      <c r="N14" s="9"/>
      <c r="O14" s="9"/>
      <c r="P14" s="9"/>
    </row>
    <row r="15" spans="1:31" s="58" customFormat="1" ht="12" x14ac:dyDescent="0.2">
      <c r="A15" s="38" t="s">
        <v>474</v>
      </c>
      <c r="B15" s="39"/>
      <c r="C15" s="39" t="s">
        <v>100</v>
      </c>
      <c r="D15" s="40" t="s">
        <v>472</v>
      </c>
      <c r="E15" s="41" t="s">
        <v>7</v>
      </c>
      <c r="F15" s="266">
        <v>3</v>
      </c>
      <c r="G15" s="42">
        <v>166732.84</v>
      </c>
      <c r="H15" s="42">
        <f>COMP!E25</f>
        <v>756.59999999999991</v>
      </c>
      <c r="I15" s="42">
        <f>ROUND(H15*(1+$E$168),2)</f>
        <v>915.26</v>
      </c>
      <c r="J15" s="446">
        <f t="shared" si="1"/>
        <v>2745.78</v>
      </c>
      <c r="K15" s="451"/>
      <c r="L15" s="55"/>
      <c r="M15" s="56"/>
      <c r="N15" s="262"/>
      <c r="O15" s="262"/>
      <c r="P15" s="262"/>
    </row>
    <row r="16" spans="1:31" s="58" customFormat="1" ht="12" customHeight="1" x14ac:dyDescent="0.2">
      <c r="A16" s="38" t="s">
        <v>475</v>
      </c>
      <c r="B16" s="39"/>
      <c r="C16" s="39" t="s">
        <v>394</v>
      </c>
      <c r="D16" s="40" t="s">
        <v>518</v>
      </c>
      <c r="E16" s="41" t="s">
        <v>395</v>
      </c>
      <c r="F16" s="266">
        <v>12</v>
      </c>
      <c r="G16" s="42">
        <v>166732.84</v>
      </c>
      <c r="H16" s="42">
        <v>480.46</v>
      </c>
      <c r="I16" s="42">
        <f>ROUND(H16*(1+$E$168),2)</f>
        <v>581.21</v>
      </c>
      <c r="J16" s="446">
        <f t="shared" ref="J16" si="2">ROUND(F16*I16,2)</f>
        <v>6974.52</v>
      </c>
      <c r="K16" s="451"/>
      <c r="L16" s="55"/>
      <c r="M16" s="56"/>
      <c r="N16" s="262"/>
      <c r="O16" s="262"/>
      <c r="P16" s="262"/>
    </row>
    <row r="17" spans="1:31" s="58" customFormat="1" ht="12" x14ac:dyDescent="0.2">
      <c r="A17" s="38" t="s">
        <v>476</v>
      </c>
      <c r="B17" s="39"/>
      <c r="C17" s="39" t="s">
        <v>100</v>
      </c>
      <c r="D17" s="40" t="s">
        <v>473</v>
      </c>
      <c r="E17" s="41" t="s">
        <v>395</v>
      </c>
      <c r="F17" s="266">
        <v>12</v>
      </c>
      <c r="G17" s="42">
        <v>166732.84</v>
      </c>
      <c r="H17" s="42">
        <f>COMP!E32</f>
        <v>1950</v>
      </c>
      <c r="I17" s="42">
        <f>ROUND(H17*(1+$E$168),2)</f>
        <v>2358.92</v>
      </c>
      <c r="J17" s="446">
        <f t="shared" ref="J17" si="3">ROUND(F17*I17,2)</f>
        <v>28307.040000000001</v>
      </c>
      <c r="K17" s="451"/>
      <c r="L17" s="55"/>
      <c r="M17" s="56"/>
      <c r="N17" s="262"/>
      <c r="O17" s="262"/>
      <c r="P17" s="262"/>
    </row>
    <row r="18" spans="1:31" s="32" customFormat="1" ht="15" x14ac:dyDescent="0.2">
      <c r="A18" s="27"/>
      <c r="B18" s="28"/>
      <c r="C18" s="333"/>
      <c r="D18" s="29" t="s">
        <v>172</v>
      </c>
      <c r="E18" s="27"/>
      <c r="F18" s="261"/>
      <c r="G18" s="30"/>
      <c r="H18" s="30"/>
      <c r="I18" s="63"/>
      <c r="J18" s="31">
        <f>SUM(J11:J17)</f>
        <v>188031.33999999997</v>
      </c>
      <c r="K18" s="24"/>
      <c r="L18" s="26"/>
      <c r="M18" s="15"/>
      <c r="N18" s="9"/>
      <c r="O18" s="9"/>
      <c r="P18" s="9"/>
      <c r="Q18" s="8"/>
      <c r="R18" s="26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s="8" customFormat="1" ht="12" hidden="1" customHeight="1" x14ac:dyDescent="0.2">
      <c r="A19" s="10"/>
      <c r="B19" s="11"/>
      <c r="C19" s="11"/>
      <c r="D19" s="12"/>
      <c r="E19" s="13"/>
      <c r="F19" s="14"/>
      <c r="G19" s="14"/>
      <c r="H19" s="14"/>
      <c r="I19" s="14"/>
      <c r="J19" s="14"/>
      <c r="K19" s="24"/>
      <c r="L19" s="26"/>
      <c r="M19" s="15"/>
      <c r="N19" s="9"/>
      <c r="O19" s="9"/>
      <c r="P19" s="9"/>
    </row>
    <row r="20" spans="1:31" s="8" customFormat="1" ht="12" hidden="1" x14ac:dyDescent="0.2">
      <c r="A20" s="4">
        <v>2</v>
      </c>
      <c r="B20" s="5"/>
      <c r="C20" s="5"/>
      <c r="D20" s="6" t="s">
        <v>25</v>
      </c>
      <c r="E20" s="267"/>
      <c r="F20" s="7"/>
      <c r="G20" s="7"/>
      <c r="H20" s="7"/>
      <c r="I20" s="7"/>
      <c r="J20" s="7"/>
      <c r="K20" s="24"/>
      <c r="L20" s="26"/>
      <c r="M20" s="15"/>
      <c r="N20" s="9"/>
      <c r="O20" s="9"/>
      <c r="P20" s="9"/>
    </row>
    <row r="21" spans="1:31" s="8" customFormat="1" ht="12" hidden="1" x14ac:dyDescent="0.2">
      <c r="A21" s="10" t="s">
        <v>27</v>
      </c>
      <c r="B21" s="11"/>
      <c r="C21" s="11"/>
      <c r="D21" s="12" t="s">
        <v>98</v>
      </c>
      <c r="E21" s="13"/>
      <c r="F21" s="14"/>
      <c r="G21" s="14"/>
      <c r="H21" s="14"/>
      <c r="I21" s="14"/>
      <c r="J21" s="14"/>
      <c r="K21" s="24"/>
      <c r="L21" s="26"/>
      <c r="M21" s="15"/>
      <c r="N21" s="9"/>
      <c r="O21" s="9"/>
      <c r="P21" s="9"/>
    </row>
    <row r="22" spans="1:31" s="8" customFormat="1" ht="12" hidden="1" x14ac:dyDescent="0.2">
      <c r="A22" s="10" t="s">
        <v>28</v>
      </c>
      <c r="B22" s="11"/>
      <c r="C22" s="11"/>
      <c r="D22" s="12" t="s">
        <v>99</v>
      </c>
      <c r="E22" s="13"/>
      <c r="F22" s="14"/>
      <c r="G22" s="14"/>
      <c r="H22" s="14"/>
      <c r="I22" s="14"/>
      <c r="J22" s="14"/>
      <c r="K22" s="24"/>
      <c r="L22" s="26"/>
      <c r="M22" s="15"/>
      <c r="N22" s="9"/>
      <c r="O22" s="9"/>
      <c r="P22" s="9"/>
    </row>
    <row r="23" spans="1:31" s="8" customFormat="1" ht="12" hidden="1" x14ac:dyDescent="0.2">
      <c r="A23" s="10" t="s">
        <v>101</v>
      </c>
      <c r="B23" s="11"/>
      <c r="C23" s="11" t="s">
        <v>100</v>
      </c>
      <c r="D23" s="12" t="s">
        <v>102</v>
      </c>
      <c r="E23" s="13" t="s">
        <v>9</v>
      </c>
      <c r="F23" s="14"/>
      <c r="G23" s="14"/>
      <c r="H23" s="14"/>
      <c r="I23" s="14"/>
      <c r="J23" s="14"/>
      <c r="K23" s="158"/>
      <c r="L23" s="26"/>
      <c r="M23" s="15"/>
      <c r="N23" s="16"/>
      <c r="O23" s="16"/>
      <c r="P23" s="17"/>
    </row>
    <row r="24" spans="1:31" s="8" customFormat="1" ht="12" hidden="1" x14ac:dyDescent="0.2">
      <c r="A24" s="10" t="s">
        <v>103</v>
      </c>
      <c r="B24" s="11"/>
      <c r="C24" s="11" t="s">
        <v>100</v>
      </c>
      <c r="D24" s="12" t="s">
        <v>104</v>
      </c>
      <c r="E24" s="13" t="s">
        <v>9</v>
      </c>
      <c r="F24" s="14"/>
      <c r="G24" s="14"/>
      <c r="H24" s="14"/>
      <c r="I24" s="14"/>
      <c r="J24" s="14"/>
      <c r="K24" s="158"/>
      <c r="L24" s="26"/>
      <c r="M24" s="15"/>
      <c r="N24" s="16"/>
      <c r="O24" s="16"/>
      <c r="P24" s="17"/>
    </row>
    <row r="25" spans="1:31" s="8" customFormat="1" ht="12" hidden="1" x14ac:dyDescent="0.2">
      <c r="A25" s="38" t="s">
        <v>105</v>
      </c>
      <c r="B25" s="39"/>
      <c r="C25" s="39" t="s">
        <v>100</v>
      </c>
      <c r="D25" s="40" t="s">
        <v>106</v>
      </c>
      <c r="E25" s="41" t="s">
        <v>9</v>
      </c>
      <c r="F25" s="42"/>
      <c r="G25" s="42">
        <v>93.57</v>
      </c>
      <c r="H25" s="42">
        <v>93.57</v>
      </c>
      <c r="I25" s="42">
        <v>113.19</v>
      </c>
      <c r="J25" s="42">
        <f>ROUND(F25*I25,2)</f>
        <v>0</v>
      </c>
      <c r="K25" s="158"/>
      <c r="L25" s="26"/>
      <c r="M25" s="15"/>
      <c r="N25" s="16"/>
      <c r="O25" s="16"/>
      <c r="P25" s="17"/>
    </row>
    <row r="26" spans="1:31" s="8" customFormat="1" ht="12" hidden="1" x14ac:dyDescent="0.2">
      <c r="A26" s="10" t="s">
        <v>29</v>
      </c>
      <c r="B26" s="11" t="s">
        <v>23</v>
      </c>
      <c r="C26" s="11" t="s">
        <v>22</v>
      </c>
      <c r="D26" s="12" t="s">
        <v>107</v>
      </c>
      <c r="E26" s="13" t="s">
        <v>6</v>
      </c>
      <c r="F26" s="14"/>
      <c r="G26" s="14"/>
      <c r="H26" s="14"/>
      <c r="I26" s="14"/>
      <c r="J26" s="37"/>
      <c r="K26" s="158"/>
      <c r="L26" s="26"/>
      <c r="M26" s="15"/>
      <c r="N26" s="16"/>
      <c r="O26" s="16"/>
      <c r="P26" s="17"/>
    </row>
    <row r="27" spans="1:31" s="8" customFormat="1" ht="12" hidden="1" customHeight="1" x14ac:dyDescent="0.2">
      <c r="A27" s="38" t="s">
        <v>108</v>
      </c>
      <c r="B27" s="39" t="s">
        <v>24</v>
      </c>
      <c r="C27" s="39">
        <v>92970</v>
      </c>
      <c r="D27" s="40" t="s">
        <v>174</v>
      </c>
      <c r="E27" s="41" t="s">
        <v>6</v>
      </c>
      <c r="F27" s="42"/>
      <c r="G27" s="42">
        <v>10.96</v>
      </c>
      <c r="H27" s="42">
        <v>10.96</v>
      </c>
      <c r="I27" s="42">
        <v>13.26</v>
      </c>
      <c r="J27" s="42">
        <f>ROUND(F27*I27,2)</f>
        <v>0</v>
      </c>
      <c r="K27" s="158"/>
      <c r="L27" s="26"/>
      <c r="M27" s="15"/>
      <c r="N27" s="16"/>
      <c r="O27" s="16"/>
      <c r="P27" s="17"/>
    </row>
    <row r="28" spans="1:31" s="8" customFormat="1" ht="12" hidden="1" x14ac:dyDescent="0.2">
      <c r="A28" s="38" t="s">
        <v>109</v>
      </c>
      <c r="B28" s="39" t="s">
        <v>23</v>
      </c>
      <c r="C28" s="39" t="s">
        <v>18</v>
      </c>
      <c r="D28" s="40" t="s">
        <v>110</v>
      </c>
      <c r="E28" s="41" t="s">
        <v>5</v>
      </c>
      <c r="F28" s="42"/>
      <c r="G28" s="42">
        <v>6.69</v>
      </c>
      <c r="H28" s="42">
        <v>6.69</v>
      </c>
      <c r="I28" s="42">
        <v>8.09</v>
      </c>
      <c r="J28" s="42">
        <f>ROUND(F28*I28,2)</f>
        <v>0</v>
      </c>
      <c r="K28" s="158"/>
      <c r="L28" s="26"/>
      <c r="M28" s="15"/>
      <c r="N28" s="16"/>
      <c r="O28" s="16"/>
      <c r="P28" s="17"/>
    </row>
    <row r="29" spans="1:31" s="8" customFormat="1" ht="12" hidden="1" x14ac:dyDescent="0.2">
      <c r="A29" s="10" t="s">
        <v>111</v>
      </c>
      <c r="B29" s="11"/>
      <c r="C29" s="11"/>
      <c r="D29" s="12" t="s">
        <v>112</v>
      </c>
      <c r="E29" s="13"/>
      <c r="F29" s="14"/>
      <c r="G29" s="14"/>
      <c r="H29" s="14"/>
      <c r="I29" s="14"/>
      <c r="J29" s="37"/>
      <c r="K29" s="158"/>
      <c r="L29" s="26"/>
      <c r="M29" s="15"/>
      <c r="N29" s="16"/>
      <c r="O29" s="16"/>
      <c r="P29" s="17"/>
    </row>
    <row r="30" spans="1:31" s="8" customFormat="1" ht="12" hidden="1" x14ac:dyDescent="0.2">
      <c r="A30" s="38" t="s">
        <v>113</v>
      </c>
      <c r="B30" s="39" t="s">
        <v>24</v>
      </c>
      <c r="C30" s="39">
        <v>72844</v>
      </c>
      <c r="D30" s="40" t="s">
        <v>175</v>
      </c>
      <c r="E30" s="41" t="s">
        <v>8</v>
      </c>
      <c r="F30" s="42"/>
      <c r="G30" s="42">
        <v>0.66</v>
      </c>
      <c r="H30" s="42">
        <v>0.66</v>
      </c>
      <c r="I30" s="42">
        <v>0.8</v>
      </c>
      <c r="J30" s="42">
        <f>ROUND(F30*I30,2)</f>
        <v>0</v>
      </c>
      <c r="K30" s="158"/>
      <c r="L30" s="26"/>
      <c r="M30" s="15"/>
      <c r="N30" s="16"/>
      <c r="O30" s="16"/>
      <c r="P30" s="17"/>
    </row>
    <row r="31" spans="1:31" s="8" customFormat="1" ht="12" hidden="1" x14ac:dyDescent="0.2">
      <c r="A31" s="38" t="s">
        <v>114</v>
      </c>
      <c r="B31" s="39" t="s">
        <v>23</v>
      </c>
      <c r="C31" s="39" t="s">
        <v>16</v>
      </c>
      <c r="D31" s="40" t="s">
        <v>145</v>
      </c>
      <c r="E31" s="41" t="s">
        <v>35</v>
      </c>
      <c r="F31" s="42"/>
      <c r="G31" s="42">
        <v>0.6</v>
      </c>
      <c r="H31" s="42">
        <v>0.6</v>
      </c>
      <c r="I31" s="42">
        <v>0.73</v>
      </c>
      <c r="J31" s="42">
        <f>ROUND(F31*I31,2)</f>
        <v>0</v>
      </c>
      <c r="K31" s="158"/>
      <c r="L31" s="26"/>
      <c r="M31" s="15"/>
      <c r="N31" s="16"/>
      <c r="O31" s="16"/>
      <c r="P31" s="17"/>
    </row>
    <row r="32" spans="1:31" s="8" customFormat="1" ht="12" hidden="1" x14ac:dyDescent="0.2">
      <c r="A32" s="10" t="s">
        <v>30</v>
      </c>
      <c r="B32" s="11"/>
      <c r="C32" s="11"/>
      <c r="D32" s="12" t="s">
        <v>115</v>
      </c>
      <c r="E32" s="13"/>
      <c r="F32" s="14"/>
      <c r="G32" s="14"/>
      <c r="H32" s="14"/>
      <c r="I32" s="14"/>
      <c r="J32" s="37"/>
      <c r="K32" s="158"/>
      <c r="L32" s="26"/>
      <c r="M32" s="15"/>
      <c r="N32" s="16"/>
      <c r="O32" s="16"/>
      <c r="P32" s="17"/>
    </row>
    <row r="33" spans="1:31" s="8" customFormat="1" ht="12" hidden="1" x14ac:dyDescent="0.2">
      <c r="A33" s="38" t="s">
        <v>31</v>
      </c>
      <c r="B33" s="39" t="s">
        <v>24</v>
      </c>
      <c r="C33" s="39" t="s">
        <v>2</v>
      </c>
      <c r="D33" s="40" t="s">
        <v>116</v>
      </c>
      <c r="E33" s="41" t="s">
        <v>6</v>
      </c>
      <c r="F33" s="42"/>
      <c r="G33" s="42">
        <v>0.45</v>
      </c>
      <c r="H33" s="42">
        <v>0.45</v>
      </c>
      <c r="I33" s="42">
        <v>0.54</v>
      </c>
      <c r="J33" s="42">
        <f>ROUND(F33*I33,2)</f>
        <v>0</v>
      </c>
      <c r="K33" s="158"/>
      <c r="L33" s="26"/>
      <c r="M33" s="15"/>
      <c r="N33" s="16"/>
      <c r="O33" s="16"/>
      <c r="P33" s="17"/>
    </row>
    <row r="34" spans="1:31" s="8" customFormat="1" ht="12" hidden="1" x14ac:dyDescent="0.2">
      <c r="A34" s="38" t="s">
        <v>32</v>
      </c>
      <c r="B34" s="39" t="s">
        <v>23</v>
      </c>
      <c r="C34" s="39" t="s">
        <v>10</v>
      </c>
      <c r="D34" s="40" t="s">
        <v>117</v>
      </c>
      <c r="E34" s="41" t="s">
        <v>7</v>
      </c>
      <c r="F34" s="42"/>
      <c r="G34" s="42">
        <v>29.44</v>
      </c>
      <c r="H34" s="42">
        <v>29.44</v>
      </c>
      <c r="I34" s="42">
        <v>35.61</v>
      </c>
      <c r="J34" s="42">
        <f>ROUND(F34*I34,2)</f>
        <v>0</v>
      </c>
      <c r="K34" s="158"/>
      <c r="L34" s="26"/>
      <c r="M34" s="15"/>
      <c r="N34" s="16"/>
      <c r="O34" s="16"/>
      <c r="P34" s="17"/>
    </row>
    <row r="35" spans="1:31" s="8" customFormat="1" ht="12" hidden="1" x14ac:dyDescent="0.2">
      <c r="A35" s="38" t="s">
        <v>33</v>
      </c>
      <c r="B35" s="39" t="s">
        <v>23</v>
      </c>
      <c r="C35" s="39" t="s">
        <v>11</v>
      </c>
      <c r="D35" s="40" t="s">
        <v>118</v>
      </c>
      <c r="E35" s="41" t="s">
        <v>7</v>
      </c>
      <c r="F35" s="42"/>
      <c r="G35" s="42">
        <v>73.61</v>
      </c>
      <c r="H35" s="42">
        <v>73.61</v>
      </c>
      <c r="I35" s="42">
        <v>89.05</v>
      </c>
      <c r="J35" s="42">
        <f>ROUND(F35*I35,2)</f>
        <v>0</v>
      </c>
      <c r="K35" s="158"/>
      <c r="L35" s="26"/>
      <c r="M35" s="15"/>
      <c r="N35" s="16"/>
      <c r="O35" s="16"/>
      <c r="P35" s="17"/>
    </row>
    <row r="36" spans="1:31" s="8" customFormat="1" ht="12" hidden="1" x14ac:dyDescent="0.2">
      <c r="A36" s="10" t="s">
        <v>34</v>
      </c>
      <c r="B36" s="11"/>
      <c r="C36" s="11"/>
      <c r="D36" s="12" t="s">
        <v>61</v>
      </c>
      <c r="E36" s="13"/>
      <c r="F36" s="14"/>
      <c r="G36" s="14"/>
      <c r="H36" s="14"/>
      <c r="I36" s="14"/>
      <c r="J36" s="37"/>
      <c r="K36" s="158"/>
      <c r="L36" s="26"/>
      <c r="M36" s="15"/>
      <c r="N36" s="16"/>
      <c r="O36" s="16"/>
      <c r="P36" s="17"/>
    </row>
    <row r="37" spans="1:31" s="8" customFormat="1" ht="12" hidden="1" x14ac:dyDescent="0.2">
      <c r="A37" s="38" t="s">
        <v>119</v>
      </c>
      <c r="B37" s="39" t="s">
        <v>24</v>
      </c>
      <c r="C37" s="39">
        <v>72844</v>
      </c>
      <c r="D37" s="40" t="s">
        <v>175</v>
      </c>
      <c r="E37" s="41" t="s">
        <v>8</v>
      </c>
      <c r="F37" s="42"/>
      <c r="G37" s="42">
        <v>0.66</v>
      </c>
      <c r="H37" s="42">
        <v>0.66</v>
      </c>
      <c r="I37" s="42">
        <v>0.8</v>
      </c>
      <c r="J37" s="42">
        <f>ROUND(F37*I37,2)</f>
        <v>0</v>
      </c>
      <c r="K37" s="158"/>
      <c r="L37" s="26"/>
      <c r="M37" s="15"/>
      <c r="N37" s="16"/>
      <c r="O37" s="16"/>
      <c r="P37" s="17"/>
    </row>
    <row r="38" spans="1:31" s="8" customFormat="1" ht="12" hidden="1" x14ac:dyDescent="0.2">
      <c r="A38" s="38" t="s">
        <v>120</v>
      </c>
      <c r="B38" s="39" t="s">
        <v>23</v>
      </c>
      <c r="C38" s="39" t="s">
        <v>16</v>
      </c>
      <c r="D38" s="40" t="s">
        <v>145</v>
      </c>
      <c r="E38" s="41" t="s">
        <v>35</v>
      </c>
      <c r="F38" s="42"/>
      <c r="G38" s="42">
        <v>0.6</v>
      </c>
      <c r="H38" s="42">
        <v>0.6</v>
      </c>
      <c r="I38" s="42">
        <v>0.73</v>
      </c>
      <c r="J38" s="42">
        <f>ROUND(F38*I38,2)</f>
        <v>0</v>
      </c>
      <c r="K38" s="158"/>
      <c r="L38" s="26"/>
      <c r="M38" s="15"/>
      <c r="N38" s="16"/>
      <c r="O38" s="16"/>
      <c r="P38" s="17"/>
    </row>
    <row r="39" spans="1:31" s="32" customFormat="1" ht="12" hidden="1" x14ac:dyDescent="0.2">
      <c r="A39" s="27"/>
      <c r="B39" s="28"/>
      <c r="C39" s="28"/>
      <c r="D39" s="29" t="s">
        <v>172</v>
      </c>
      <c r="E39" s="27"/>
      <c r="F39" s="30"/>
      <c r="G39" s="30"/>
      <c r="H39" s="30"/>
      <c r="I39" s="30"/>
      <c r="J39" s="31">
        <f>SUM(J25:J38)</f>
        <v>0</v>
      </c>
      <c r="K39" s="159"/>
      <c r="L39" s="33"/>
      <c r="M39" s="15"/>
      <c r="N39" s="9"/>
      <c r="O39" s="9"/>
      <c r="P39" s="9"/>
      <c r="Q39" s="8"/>
      <c r="R39" s="26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s="8" customFormat="1" ht="12" hidden="1" x14ac:dyDescent="0.2">
      <c r="A40" s="10"/>
      <c r="B40" s="11"/>
      <c r="C40" s="11"/>
      <c r="D40" s="12"/>
      <c r="E40" s="13"/>
      <c r="F40" s="14"/>
      <c r="G40" s="14"/>
      <c r="H40" s="14"/>
      <c r="I40" s="14"/>
      <c r="J40" s="14"/>
      <c r="K40" s="24"/>
      <c r="L40" s="26"/>
      <c r="M40" s="15"/>
      <c r="N40" s="9"/>
      <c r="O40" s="9"/>
      <c r="P40" s="9"/>
    </row>
    <row r="41" spans="1:31" s="8" customFormat="1" ht="12" hidden="1" x14ac:dyDescent="0.2">
      <c r="A41" s="4">
        <v>3</v>
      </c>
      <c r="B41" s="5"/>
      <c r="C41" s="5"/>
      <c r="D41" s="6" t="s">
        <v>121</v>
      </c>
      <c r="E41" s="267"/>
      <c r="F41" s="7"/>
      <c r="G41" s="7"/>
      <c r="H41" s="7"/>
      <c r="I41" s="7"/>
      <c r="J41" s="7"/>
      <c r="K41" s="24"/>
      <c r="L41" s="26"/>
      <c r="M41" s="15"/>
      <c r="N41" s="9"/>
      <c r="O41" s="9"/>
      <c r="P41" s="9"/>
    </row>
    <row r="42" spans="1:31" s="8" customFormat="1" ht="12" hidden="1" customHeight="1" x14ac:dyDescent="0.2">
      <c r="A42" s="38" t="s">
        <v>36</v>
      </c>
      <c r="B42" s="39" t="s">
        <v>24</v>
      </c>
      <c r="C42" s="39">
        <v>83343</v>
      </c>
      <c r="D42" s="40" t="s">
        <v>122</v>
      </c>
      <c r="E42" s="41" t="s">
        <v>5</v>
      </c>
      <c r="F42" s="42"/>
      <c r="G42" s="42">
        <v>13.63</v>
      </c>
      <c r="H42" s="42">
        <v>13.63</v>
      </c>
      <c r="I42" s="42">
        <f>ROUND(H42*1.2097,2)</f>
        <v>16.489999999999998</v>
      </c>
      <c r="J42" s="42">
        <f>ROUND(F42*I42,2)</f>
        <v>0</v>
      </c>
      <c r="K42" s="24"/>
      <c r="L42" s="26"/>
      <c r="M42" s="15"/>
      <c r="N42" s="16"/>
      <c r="O42" s="16"/>
      <c r="P42" s="17"/>
    </row>
    <row r="43" spans="1:31" s="8" customFormat="1" ht="12" hidden="1" x14ac:dyDescent="0.2">
      <c r="A43" s="38" t="s">
        <v>37</v>
      </c>
      <c r="B43" s="39" t="s">
        <v>24</v>
      </c>
      <c r="C43" s="39">
        <v>83338</v>
      </c>
      <c r="D43" s="40" t="s">
        <v>123</v>
      </c>
      <c r="E43" s="41" t="s">
        <v>5</v>
      </c>
      <c r="F43" s="42"/>
      <c r="G43" s="42">
        <v>2.6</v>
      </c>
      <c r="H43" s="42">
        <v>2.6</v>
      </c>
      <c r="I43" s="42">
        <f t="shared" ref="I43:I46" si="4">ROUND(H43*1.2097,2)</f>
        <v>3.15</v>
      </c>
      <c r="J43" s="42">
        <f t="shared" ref="J43:J46" si="5">ROUND(F43*I43,2)</f>
        <v>0</v>
      </c>
      <c r="K43" s="24"/>
      <c r="L43" s="26"/>
      <c r="M43" s="15"/>
      <c r="N43" s="16"/>
      <c r="O43" s="16"/>
      <c r="P43" s="17"/>
    </row>
    <row r="44" spans="1:31" s="8" customFormat="1" ht="12" hidden="1" x14ac:dyDescent="0.2">
      <c r="A44" s="38" t="s">
        <v>41</v>
      </c>
      <c r="B44" s="39" t="s">
        <v>23</v>
      </c>
      <c r="C44" s="39" t="s">
        <v>12</v>
      </c>
      <c r="D44" s="40" t="s">
        <v>124</v>
      </c>
      <c r="E44" s="41" t="s">
        <v>5</v>
      </c>
      <c r="F44" s="42"/>
      <c r="G44" s="42">
        <v>18.14</v>
      </c>
      <c r="H44" s="42">
        <v>18.14</v>
      </c>
      <c r="I44" s="42">
        <f t="shared" si="4"/>
        <v>21.94</v>
      </c>
      <c r="J44" s="42">
        <f t="shared" si="5"/>
        <v>0</v>
      </c>
      <c r="K44" s="24"/>
      <c r="L44" s="26"/>
      <c r="M44" s="15"/>
      <c r="N44" s="16"/>
      <c r="O44" s="16"/>
      <c r="P44" s="17"/>
    </row>
    <row r="45" spans="1:31" s="8" customFormat="1" ht="12" hidden="1" x14ac:dyDescent="0.2">
      <c r="A45" s="38" t="s">
        <v>42</v>
      </c>
      <c r="B45" s="43" t="s">
        <v>24</v>
      </c>
      <c r="C45" s="43">
        <v>6077</v>
      </c>
      <c r="D45" s="44" t="s">
        <v>178</v>
      </c>
      <c r="E45" s="38" t="s">
        <v>5</v>
      </c>
      <c r="F45" s="42"/>
      <c r="G45" s="42">
        <v>17.45</v>
      </c>
      <c r="H45" s="42">
        <v>17.45</v>
      </c>
      <c r="I45" s="42">
        <f t="shared" si="4"/>
        <v>21.11</v>
      </c>
      <c r="J45" s="42">
        <f t="shared" si="5"/>
        <v>0</v>
      </c>
      <c r="K45" s="160"/>
      <c r="L45" s="26"/>
      <c r="M45" s="15"/>
      <c r="N45" s="16"/>
      <c r="O45" s="16"/>
      <c r="P45" s="17"/>
    </row>
    <row r="46" spans="1:31" s="8" customFormat="1" ht="12" hidden="1" x14ac:dyDescent="0.2">
      <c r="A46" s="38" t="s">
        <v>44</v>
      </c>
      <c r="B46" s="39" t="s">
        <v>23</v>
      </c>
      <c r="C46" s="39" t="s">
        <v>14</v>
      </c>
      <c r="D46" s="40" t="s">
        <v>125</v>
      </c>
      <c r="E46" s="41" t="s">
        <v>5</v>
      </c>
      <c r="F46" s="42"/>
      <c r="G46" s="42">
        <v>72.790000000000006</v>
      </c>
      <c r="H46" s="42">
        <v>72.790000000000006</v>
      </c>
      <c r="I46" s="42">
        <f t="shared" si="4"/>
        <v>88.05</v>
      </c>
      <c r="J46" s="42">
        <f t="shared" si="5"/>
        <v>0</v>
      </c>
      <c r="K46" s="24"/>
      <c r="L46" s="26"/>
      <c r="M46" s="15"/>
      <c r="N46" s="16"/>
      <c r="O46" s="16"/>
      <c r="P46" s="17"/>
    </row>
    <row r="47" spans="1:31" s="8" customFormat="1" ht="12" hidden="1" x14ac:dyDescent="0.2">
      <c r="A47" s="10" t="s">
        <v>50</v>
      </c>
      <c r="B47" s="11"/>
      <c r="C47" s="11" t="s">
        <v>100</v>
      </c>
      <c r="D47" s="12" t="s">
        <v>126</v>
      </c>
      <c r="E47" s="13" t="s">
        <v>5</v>
      </c>
      <c r="F47" s="14"/>
      <c r="G47" s="14"/>
      <c r="H47" s="14"/>
      <c r="I47" s="80"/>
      <c r="J47" s="37"/>
      <c r="K47" s="24"/>
      <c r="L47" s="26"/>
      <c r="M47" s="15"/>
      <c r="N47" s="16"/>
      <c r="O47" s="16"/>
      <c r="P47" s="17"/>
    </row>
    <row r="48" spans="1:31" s="8" customFormat="1" ht="12" hidden="1" x14ac:dyDescent="0.2">
      <c r="A48" s="10" t="s">
        <v>52</v>
      </c>
      <c r="B48" s="11"/>
      <c r="C48" s="11" t="s">
        <v>100</v>
      </c>
      <c r="D48" s="12" t="s">
        <v>127</v>
      </c>
      <c r="E48" s="13" t="s">
        <v>5</v>
      </c>
      <c r="F48" s="14"/>
      <c r="G48" s="14"/>
      <c r="H48" s="14"/>
      <c r="I48" s="80"/>
      <c r="J48" s="37"/>
      <c r="K48" s="24"/>
      <c r="L48" s="26"/>
      <c r="M48" s="15"/>
      <c r="N48" s="16"/>
      <c r="O48" s="16"/>
      <c r="P48" s="17"/>
    </row>
    <row r="49" spans="1:31" s="8" customFormat="1" ht="12" hidden="1" x14ac:dyDescent="0.2">
      <c r="A49" s="38" t="s">
        <v>128</v>
      </c>
      <c r="B49" s="39" t="s">
        <v>24</v>
      </c>
      <c r="C49" s="39">
        <v>72844</v>
      </c>
      <c r="D49" s="40" t="s">
        <v>175</v>
      </c>
      <c r="E49" s="41" t="s">
        <v>8</v>
      </c>
      <c r="F49" s="42"/>
      <c r="G49" s="42">
        <v>0.66</v>
      </c>
      <c r="H49" s="42">
        <v>0.66</v>
      </c>
      <c r="I49" s="42">
        <f t="shared" ref="I49:I52" si="6">ROUND(H49*1.2097,2)</f>
        <v>0.8</v>
      </c>
      <c r="J49" s="42">
        <f t="shared" ref="J49:J52" si="7">ROUND(F49*I49,2)</f>
        <v>0</v>
      </c>
      <c r="K49" s="24"/>
      <c r="L49" s="26"/>
      <c r="M49" s="15"/>
      <c r="N49" s="16"/>
      <c r="O49" s="16"/>
      <c r="P49" s="17"/>
    </row>
    <row r="50" spans="1:31" s="8" customFormat="1" ht="12" hidden="1" x14ac:dyDescent="0.2">
      <c r="A50" s="38" t="s">
        <v>129</v>
      </c>
      <c r="B50" s="39" t="s">
        <v>23</v>
      </c>
      <c r="C50" s="39" t="s">
        <v>17</v>
      </c>
      <c r="D50" s="40" t="s">
        <v>145</v>
      </c>
      <c r="E50" s="41" t="s">
        <v>35</v>
      </c>
      <c r="F50" s="42"/>
      <c r="G50" s="42">
        <v>0.4</v>
      </c>
      <c r="H50" s="42">
        <v>0.4</v>
      </c>
      <c r="I50" s="42">
        <f t="shared" si="6"/>
        <v>0.48</v>
      </c>
      <c r="J50" s="42">
        <f t="shared" si="7"/>
        <v>0</v>
      </c>
      <c r="K50" s="24"/>
      <c r="L50" s="26"/>
      <c r="M50" s="15"/>
      <c r="N50" s="16"/>
      <c r="O50" s="16"/>
      <c r="P50" s="17"/>
    </row>
    <row r="51" spans="1:31" s="8" customFormat="1" ht="12" hidden="1" x14ac:dyDescent="0.2">
      <c r="A51" s="38" t="s">
        <v>131</v>
      </c>
      <c r="B51" s="39" t="s">
        <v>24</v>
      </c>
      <c r="C51" s="39">
        <v>41721</v>
      </c>
      <c r="D51" s="40" t="s">
        <v>132</v>
      </c>
      <c r="E51" s="41" t="s">
        <v>5</v>
      </c>
      <c r="F51" s="42"/>
      <c r="G51" s="42">
        <v>2.92</v>
      </c>
      <c r="H51" s="42">
        <v>2.92</v>
      </c>
      <c r="I51" s="42">
        <f t="shared" si="6"/>
        <v>3.53</v>
      </c>
      <c r="J51" s="42">
        <f t="shared" si="7"/>
        <v>0</v>
      </c>
      <c r="K51" s="24"/>
      <c r="L51" s="26"/>
      <c r="M51" s="15"/>
      <c r="N51" s="16"/>
      <c r="O51" s="16"/>
      <c r="P51" s="17"/>
    </row>
    <row r="52" spans="1:31" s="8" customFormat="1" ht="12" hidden="1" x14ac:dyDescent="0.2">
      <c r="A52" s="38" t="s">
        <v>133</v>
      </c>
      <c r="B52" s="39" t="s">
        <v>24</v>
      </c>
      <c r="C52" s="39">
        <v>41722</v>
      </c>
      <c r="D52" s="40" t="s">
        <v>134</v>
      </c>
      <c r="E52" s="41" t="s">
        <v>5</v>
      </c>
      <c r="F52" s="42"/>
      <c r="G52" s="42">
        <v>4.45</v>
      </c>
      <c r="H52" s="42">
        <v>4.45</v>
      </c>
      <c r="I52" s="42">
        <f t="shared" si="6"/>
        <v>5.38</v>
      </c>
      <c r="J52" s="42">
        <f t="shared" si="7"/>
        <v>0</v>
      </c>
      <c r="K52" s="24"/>
      <c r="L52" s="26"/>
      <c r="M52" s="15"/>
      <c r="N52" s="16"/>
      <c r="O52" s="16"/>
      <c r="P52" s="17"/>
    </row>
    <row r="53" spans="1:31" s="32" customFormat="1" ht="12" hidden="1" x14ac:dyDescent="0.2">
      <c r="A53" s="27"/>
      <c r="B53" s="28"/>
      <c r="C53" s="28"/>
      <c r="D53" s="29" t="s">
        <v>172</v>
      </c>
      <c r="E53" s="27"/>
      <c r="F53" s="30"/>
      <c r="G53" s="30"/>
      <c r="H53" s="30"/>
      <c r="I53" s="30"/>
      <c r="J53" s="31">
        <f>SUM(J42:J52)</f>
        <v>0</v>
      </c>
      <c r="K53" s="159"/>
      <c r="L53" s="33"/>
      <c r="M53" s="15"/>
      <c r="N53" s="9"/>
      <c r="O53" s="9"/>
      <c r="P53" s="9"/>
      <c r="Q53" s="8"/>
      <c r="R53" s="26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s="8" customFormat="1" ht="12" x14ac:dyDescent="0.2">
      <c r="A54" s="10"/>
      <c r="B54" s="11"/>
      <c r="C54" s="11"/>
      <c r="D54" s="12"/>
      <c r="E54" s="13"/>
      <c r="F54" s="14"/>
      <c r="G54" s="14"/>
      <c r="H54" s="14"/>
      <c r="I54" s="14"/>
      <c r="J54" s="14"/>
      <c r="K54" s="24"/>
      <c r="L54" s="26"/>
      <c r="M54" s="15"/>
      <c r="N54" s="9"/>
      <c r="O54" s="9"/>
      <c r="P54" s="9"/>
    </row>
    <row r="55" spans="1:31" s="59" customFormat="1" ht="18" x14ac:dyDescent="0.2">
      <c r="A55" s="350" t="s">
        <v>215</v>
      </c>
      <c r="B55" s="350"/>
      <c r="C55" s="350"/>
      <c r="D55" s="350"/>
      <c r="E55" s="350"/>
      <c r="F55" s="350"/>
      <c r="G55" s="350"/>
      <c r="H55" s="350"/>
      <c r="I55" s="350"/>
      <c r="J55" s="350"/>
      <c r="K55" s="157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</row>
    <row r="56" spans="1:31" x14ac:dyDescent="0.2">
      <c r="A56" s="25">
        <v>1</v>
      </c>
      <c r="B56" s="79"/>
      <c r="C56" s="5"/>
      <c r="D56" s="6" t="s">
        <v>183</v>
      </c>
      <c r="E56" s="267"/>
      <c r="F56" s="47"/>
      <c r="G56" s="25"/>
      <c r="H56" s="25"/>
      <c r="I56" s="47"/>
      <c r="J56" s="47"/>
    </row>
    <row r="57" spans="1:31" hidden="1" x14ac:dyDescent="0.2">
      <c r="A57" s="144" t="s">
        <v>26</v>
      </c>
      <c r="B57" s="39" t="s">
        <v>24</v>
      </c>
      <c r="C57" s="39" t="s">
        <v>205</v>
      </c>
      <c r="D57" s="40" t="s">
        <v>184</v>
      </c>
      <c r="E57" s="41" t="s">
        <v>6</v>
      </c>
      <c r="F57" s="45">
        <v>0</v>
      </c>
      <c r="G57" s="45">
        <v>79933.38</v>
      </c>
      <c r="H57" s="45">
        <v>367.95</v>
      </c>
      <c r="I57" s="45" t="e">
        <f>ROUND(H57*(1+#REF!),2)</f>
        <v>#REF!</v>
      </c>
      <c r="J57" s="45" t="e">
        <f>ROUND(F57*I57,2)</f>
        <v>#REF!</v>
      </c>
    </row>
    <row r="58" spans="1:31" ht="24" x14ac:dyDescent="0.2">
      <c r="A58" s="38" t="s">
        <v>26</v>
      </c>
      <c r="B58" s="39" t="s">
        <v>24</v>
      </c>
      <c r="C58" s="39">
        <v>78472</v>
      </c>
      <c r="D58" s="40" t="s">
        <v>185</v>
      </c>
      <c r="E58" s="41" t="s">
        <v>6</v>
      </c>
      <c r="F58" s="45">
        <f>(11.04+287.11+33.9+28.97+105.321328+14.21+161.05+18.94)+(144.38+46.18+5.48+529.66+1066.6+44.54+53.24+54.28+95.7+125.65+335.73+2.74+30.38+18.41+139+46.09+14.56+907.31)+(423.67)</f>
        <v>4744.1413279999997</v>
      </c>
      <c r="G58" s="45">
        <v>166732.84</v>
      </c>
      <c r="H58" s="45">
        <v>0.34</v>
      </c>
      <c r="I58" s="42">
        <f t="shared" ref="I58" si="8">ROUND(H58*(1+$E$168),2)</f>
        <v>0.41</v>
      </c>
      <c r="J58" s="45">
        <f t="shared" ref="J58" si="9">ROUND(F58*I58,2)</f>
        <v>1945.1</v>
      </c>
      <c r="L58" s="131"/>
    </row>
    <row r="59" spans="1:31" x14ac:dyDescent="0.2">
      <c r="A59" s="53"/>
      <c r="B59" s="28"/>
      <c r="C59" s="28"/>
      <c r="D59" s="29" t="s">
        <v>172</v>
      </c>
      <c r="E59" s="27"/>
      <c r="F59" s="48"/>
      <c r="G59" s="48"/>
      <c r="H59" s="48"/>
      <c r="I59" s="49"/>
      <c r="J59" s="156">
        <f>J58</f>
        <v>1945.1</v>
      </c>
      <c r="K59" s="21"/>
    </row>
    <row r="60" spans="1:31" hidden="1" x14ac:dyDescent="0.2">
      <c r="A60" s="53"/>
      <c r="B60" s="11"/>
      <c r="C60" s="11"/>
      <c r="D60" s="12"/>
      <c r="E60" s="13"/>
      <c r="F60" s="46"/>
      <c r="G60" s="46"/>
      <c r="H60" s="46"/>
      <c r="I60" s="46"/>
      <c r="J60" s="152"/>
      <c r="K60" s="21"/>
    </row>
    <row r="61" spans="1:31" hidden="1" x14ac:dyDescent="0.2">
      <c r="A61" s="25">
        <v>2</v>
      </c>
      <c r="B61" s="5"/>
      <c r="C61" s="5"/>
      <c r="D61" s="6" t="s">
        <v>186</v>
      </c>
      <c r="E61" s="267"/>
      <c r="F61" s="47"/>
      <c r="G61" s="47"/>
      <c r="H61" s="47"/>
      <c r="I61" s="47"/>
      <c r="J61" s="152"/>
      <c r="K61" s="21"/>
    </row>
    <row r="62" spans="1:31" hidden="1" x14ac:dyDescent="0.2">
      <c r="A62" s="53" t="s">
        <v>27</v>
      </c>
      <c r="B62" s="39" t="s">
        <v>24</v>
      </c>
      <c r="C62" s="39" t="s">
        <v>208</v>
      </c>
      <c r="D62" s="40" t="s">
        <v>187</v>
      </c>
      <c r="E62" s="41" t="s">
        <v>5</v>
      </c>
      <c r="F62" s="45"/>
      <c r="G62" s="46"/>
      <c r="H62" s="45">
        <v>3.8</v>
      </c>
      <c r="I62" s="45" t="e">
        <f>ROUND(F62*#REF!,2)</f>
        <v>#REF!</v>
      </c>
      <c r="J62" s="153"/>
      <c r="K62" s="21"/>
    </row>
    <row r="63" spans="1:31" hidden="1" x14ac:dyDescent="0.2">
      <c r="A63" s="53" t="s">
        <v>30</v>
      </c>
      <c r="B63" s="39"/>
      <c r="C63" s="39"/>
      <c r="D63" s="40" t="s">
        <v>188</v>
      </c>
      <c r="E63" s="41" t="s">
        <v>5</v>
      </c>
      <c r="F63" s="45"/>
      <c r="G63" s="46"/>
      <c r="H63" s="45">
        <v>3.81</v>
      </c>
      <c r="I63" s="45" t="e">
        <f>ROUND(F63*#REF!,2)</f>
        <v>#REF!</v>
      </c>
      <c r="J63" s="152"/>
      <c r="K63" s="51"/>
    </row>
    <row r="64" spans="1:31" ht="36" hidden="1" x14ac:dyDescent="0.2">
      <c r="A64" s="53" t="s">
        <v>191</v>
      </c>
      <c r="B64" s="39" t="s">
        <v>24</v>
      </c>
      <c r="C64" s="39" t="s">
        <v>206</v>
      </c>
      <c r="D64" s="40" t="s">
        <v>189</v>
      </c>
      <c r="E64" s="41" t="s">
        <v>5</v>
      </c>
      <c r="F64" s="45"/>
      <c r="G64" s="45"/>
      <c r="H64" s="45">
        <f>10.42+20.9</f>
        <v>31.32</v>
      </c>
      <c r="I64" s="45" t="e">
        <f>ROUND(F64*#REF!,2)</f>
        <v>#REF!</v>
      </c>
      <c r="J64" s="154"/>
      <c r="K64" s="21"/>
    </row>
    <row r="65" spans="1:17" hidden="1" x14ac:dyDescent="0.2">
      <c r="A65" s="53" t="s">
        <v>192</v>
      </c>
      <c r="B65" s="39"/>
      <c r="C65" s="39"/>
      <c r="D65" s="40" t="s">
        <v>190</v>
      </c>
      <c r="E65" s="38" t="s">
        <v>5</v>
      </c>
      <c r="F65" s="45"/>
      <c r="G65" s="45"/>
      <c r="H65" s="45">
        <v>7.72</v>
      </c>
      <c r="I65" s="45" t="e">
        <f>ROUND(F65*#REF!,2)</f>
        <v>#REF!</v>
      </c>
      <c r="J65" s="152"/>
      <c r="K65" s="21"/>
    </row>
    <row r="66" spans="1:17" hidden="1" x14ac:dyDescent="0.2">
      <c r="A66" s="53"/>
      <c r="B66" s="28"/>
      <c r="C66" s="28"/>
      <c r="D66" s="29" t="s">
        <v>172</v>
      </c>
      <c r="E66" s="27"/>
      <c r="F66" s="48"/>
      <c r="G66" s="48"/>
      <c r="H66" s="48"/>
      <c r="I66" s="150" t="e">
        <f>SUM(I62:I65)</f>
        <v>#REF!</v>
      </c>
      <c r="J66" s="152"/>
      <c r="K66" s="21"/>
    </row>
    <row r="67" spans="1:17" x14ac:dyDescent="0.2">
      <c r="A67" s="53"/>
      <c r="B67" s="11"/>
      <c r="C67" s="11"/>
      <c r="D67" s="12"/>
      <c r="E67" s="13"/>
      <c r="F67" s="46"/>
      <c r="G67" s="46"/>
      <c r="H67" s="46"/>
      <c r="I67" s="46"/>
      <c r="K67" s="131"/>
    </row>
    <row r="68" spans="1:17" s="8" customFormat="1" ht="12" x14ac:dyDescent="0.2">
      <c r="A68" s="25">
        <v>2</v>
      </c>
      <c r="B68" s="5"/>
      <c r="C68" s="5"/>
      <c r="D68" s="6" t="s">
        <v>135</v>
      </c>
      <c r="E68" s="267"/>
      <c r="F68" s="7"/>
      <c r="G68" s="7"/>
      <c r="H68" s="7"/>
      <c r="I68" s="151"/>
      <c r="J68" s="155"/>
      <c r="K68" s="26"/>
      <c r="L68" s="15"/>
      <c r="M68" s="452"/>
      <c r="N68" s="452"/>
      <c r="O68" s="452"/>
      <c r="P68" s="453"/>
      <c r="Q68" s="453"/>
    </row>
    <row r="69" spans="1:17" s="8" customFormat="1" ht="12" x14ac:dyDescent="0.2">
      <c r="A69" s="38" t="s">
        <v>27</v>
      </c>
      <c r="B69" s="39" t="s">
        <v>24</v>
      </c>
      <c r="C69" s="39">
        <v>90093</v>
      </c>
      <c r="D69" s="40" t="s">
        <v>136</v>
      </c>
      <c r="E69" s="41" t="s">
        <v>5</v>
      </c>
      <c r="F69" s="45">
        <v>1104.471</v>
      </c>
      <c r="G69" s="42">
        <v>4.55</v>
      </c>
      <c r="H69" s="42">
        <v>3.37</v>
      </c>
      <c r="I69" s="42">
        <f>ROUND(H69*(1+$E$168),2)</f>
        <v>4.08</v>
      </c>
      <c r="J69" s="130">
        <f t="shared" ref="J69:J88" si="10">ROUND(F69*I69,2)</f>
        <v>4506.24</v>
      </c>
      <c r="K69" s="24"/>
      <c r="L69" s="26"/>
      <c r="M69" s="454"/>
      <c r="N69" s="455"/>
      <c r="O69" s="455"/>
      <c r="P69" s="456"/>
      <c r="Q69" s="453"/>
    </row>
    <row r="70" spans="1:17" s="58" customFormat="1" ht="12" x14ac:dyDescent="0.2">
      <c r="A70" s="38" t="s">
        <v>30</v>
      </c>
      <c r="B70" s="39" t="s">
        <v>23</v>
      </c>
      <c r="C70" s="39">
        <v>5914389</v>
      </c>
      <c r="D70" s="40" t="s">
        <v>145</v>
      </c>
      <c r="E70" s="41" t="s">
        <v>35</v>
      </c>
      <c r="F70" s="45">
        <f>ROUND(F69*1.84*4,2)</f>
        <v>8128.91</v>
      </c>
      <c r="G70" s="42">
        <v>0.6</v>
      </c>
      <c r="H70" s="42">
        <v>0.47</v>
      </c>
      <c r="I70" s="42">
        <f>ROUND(H70*(1+$E$168),2)</f>
        <v>0.56999999999999995</v>
      </c>
      <c r="J70" s="42">
        <f t="shared" si="10"/>
        <v>4633.4799999999996</v>
      </c>
      <c r="K70" s="54"/>
      <c r="L70" s="55"/>
      <c r="M70" s="454"/>
      <c r="N70" s="457"/>
      <c r="O70" s="457"/>
      <c r="P70" s="458"/>
      <c r="Q70" s="459"/>
    </row>
    <row r="71" spans="1:17" s="58" customFormat="1" ht="12" x14ac:dyDescent="0.2">
      <c r="A71" s="38" t="s">
        <v>191</v>
      </c>
      <c r="B71" s="39"/>
      <c r="C71" s="39"/>
      <c r="D71" s="40" t="s">
        <v>428</v>
      </c>
      <c r="E71" s="41"/>
      <c r="F71" s="45"/>
      <c r="G71" s="42"/>
      <c r="H71" s="42"/>
      <c r="I71" s="42"/>
      <c r="J71" s="42"/>
      <c r="K71" s="54"/>
      <c r="L71" s="55"/>
      <c r="M71" s="454"/>
      <c r="N71" s="457"/>
      <c r="O71" s="457"/>
      <c r="P71" s="458"/>
      <c r="Q71" s="459"/>
    </row>
    <row r="72" spans="1:17" s="8" customFormat="1" ht="12" x14ac:dyDescent="0.2">
      <c r="A72" s="38" t="s">
        <v>429</v>
      </c>
      <c r="B72" s="39" t="s">
        <v>427</v>
      </c>
      <c r="C72" s="39">
        <v>50401</v>
      </c>
      <c r="D72" s="40" t="s">
        <v>462</v>
      </c>
      <c r="E72" s="41" t="s">
        <v>6</v>
      </c>
      <c r="F72" s="45">
        <f>ROUND((397.7764+411.7016),2)</f>
        <v>809.48</v>
      </c>
      <c r="G72" s="42">
        <v>28.57</v>
      </c>
      <c r="H72" s="42">
        <v>6.43</v>
      </c>
      <c r="I72" s="42">
        <f>ROUND(H72*(1+$E$168),2)</f>
        <v>7.78</v>
      </c>
      <c r="J72" s="42">
        <f t="shared" ref="J72" si="11">ROUND(F72*I72,2)</f>
        <v>6297.75</v>
      </c>
      <c r="K72" s="24"/>
      <c r="L72" s="26"/>
      <c r="M72" s="454"/>
      <c r="N72" s="455"/>
      <c r="O72" s="455"/>
      <c r="P72" s="456"/>
      <c r="Q72" s="453"/>
    </row>
    <row r="73" spans="1:17" s="8" customFormat="1" ht="12" x14ac:dyDescent="0.2">
      <c r="A73" s="38" t="s">
        <v>430</v>
      </c>
      <c r="B73" s="39" t="s">
        <v>427</v>
      </c>
      <c r="C73" s="39">
        <v>50201</v>
      </c>
      <c r="D73" s="40" t="s">
        <v>431</v>
      </c>
      <c r="E73" s="41" t="s">
        <v>6</v>
      </c>
      <c r="F73" s="45">
        <v>161.04</v>
      </c>
      <c r="G73" s="42">
        <v>28.57</v>
      </c>
      <c r="H73" s="42">
        <v>8.08</v>
      </c>
      <c r="I73" s="42">
        <f>ROUND(H73*(1+$E$168),2)</f>
        <v>9.77</v>
      </c>
      <c r="J73" s="42">
        <f t="shared" si="10"/>
        <v>1573.36</v>
      </c>
      <c r="K73" s="24"/>
      <c r="L73" s="26"/>
      <c r="M73" s="454"/>
      <c r="N73" s="455"/>
      <c r="O73" s="455"/>
      <c r="P73" s="456"/>
      <c r="Q73" s="453"/>
    </row>
    <row r="74" spans="1:17" s="8" customFormat="1" ht="12" x14ac:dyDescent="0.2">
      <c r="A74" s="53" t="s">
        <v>192</v>
      </c>
      <c r="B74" s="11"/>
      <c r="C74" s="11"/>
      <c r="D74" s="36" t="s">
        <v>137</v>
      </c>
      <c r="E74" s="13"/>
      <c r="F74" s="46"/>
      <c r="G74" s="14"/>
      <c r="H74" s="14"/>
      <c r="I74" s="14"/>
      <c r="J74" s="37"/>
      <c r="K74" s="24"/>
      <c r="L74" s="26"/>
      <c r="M74" s="460"/>
      <c r="N74" s="455"/>
      <c r="O74" s="455"/>
      <c r="P74" s="456"/>
      <c r="Q74" s="453"/>
    </row>
    <row r="75" spans="1:17" s="8" customFormat="1" ht="12" x14ac:dyDescent="0.2">
      <c r="A75" s="38" t="s">
        <v>240</v>
      </c>
      <c r="B75" s="39" t="s">
        <v>24</v>
      </c>
      <c r="C75" s="39">
        <v>92210</v>
      </c>
      <c r="D75" s="40" t="s">
        <v>138</v>
      </c>
      <c r="E75" s="41" t="s">
        <v>9</v>
      </c>
      <c r="F75" s="268">
        <v>150</v>
      </c>
      <c r="G75" s="42">
        <v>85.92</v>
      </c>
      <c r="H75" s="42">
        <v>84.08</v>
      </c>
      <c r="I75" s="42">
        <f>ROUND(H75*(1+$E$168),2)</f>
        <v>101.71</v>
      </c>
      <c r="J75" s="42">
        <f t="shared" si="10"/>
        <v>15256.5</v>
      </c>
      <c r="K75" s="24"/>
      <c r="L75" s="26"/>
      <c r="M75" s="454"/>
      <c r="N75" s="455"/>
      <c r="O75" s="455"/>
      <c r="P75" s="456"/>
      <c r="Q75" s="453"/>
    </row>
    <row r="76" spans="1:17" s="8" customFormat="1" ht="12" x14ac:dyDescent="0.2">
      <c r="A76" s="38" t="s">
        <v>241</v>
      </c>
      <c r="B76" s="39" t="s">
        <v>24</v>
      </c>
      <c r="C76" s="39">
        <v>92212</v>
      </c>
      <c r="D76" s="40" t="s">
        <v>139</v>
      </c>
      <c r="E76" s="41" t="s">
        <v>9</v>
      </c>
      <c r="F76" s="268">
        <v>154</v>
      </c>
      <c r="G76" s="42">
        <v>137.82</v>
      </c>
      <c r="H76" s="42">
        <v>134.91999999999999</v>
      </c>
      <c r="I76" s="42">
        <f>ROUND(H76*(1+$E$168),2)</f>
        <v>163.21</v>
      </c>
      <c r="J76" s="42">
        <f t="shared" si="10"/>
        <v>25134.34</v>
      </c>
      <c r="K76" s="24"/>
      <c r="L76" s="26"/>
      <c r="M76" s="454"/>
      <c r="N76" s="455"/>
      <c r="O76" s="455"/>
      <c r="P76" s="456"/>
      <c r="Q76" s="453"/>
    </row>
    <row r="77" spans="1:17" s="8" customFormat="1" ht="12" hidden="1" x14ac:dyDescent="0.2">
      <c r="A77" s="38" t="s">
        <v>242</v>
      </c>
      <c r="B77" s="11" t="s">
        <v>24</v>
      </c>
      <c r="C77" s="11">
        <v>92214</v>
      </c>
      <c r="D77" s="12" t="s">
        <v>140</v>
      </c>
      <c r="E77" s="13" t="s">
        <v>9</v>
      </c>
      <c r="F77" s="268"/>
      <c r="G77" s="14"/>
      <c r="H77" s="14"/>
      <c r="I77" s="80"/>
      <c r="J77" s="37"/>
      <c r="K77" s="24"/>
      <c r="L77" s="26"/>
      <c r="M77" s="460"/>
      <c r="N77" s="455"/>
      <c r="O77" s="455"/>
      <c r="P77" s="456"/>
      <c r="Q77" s="453"/>
    </row>
    <row r="78" spans="1:17" s="8" customFormat="1" ht="12" x14ac:dyDescent="0.2">
      <c r="A78" s="38" t="s">
        <v>243</v>
      </c>
      <c r="B78" s="39" t="s">
        <v>24</v>
      </c>
      <c r="C78" s="39">
        <v>92818</v>
      </c>
      <c r="D78" s="40" t="s">
        <v>141</v>
      </c>
      <c r="E78" s="41" t="s">
        <v>9</v>
      </c>
      <c r="F78" s="268">
        <f>33+33+6+6+6+6</f>
        <v>90</v>
      </c>
      <c r="G78" s="42">
        <v>536.08000000000004</v>
      </c>
      <c r="H78" s="42">
        <v>524.54</v>
      </c>
      <c r="I78" s="42">
        <f>ROUND(H78*(1+$E$168),2)</f>
        <v>634.54</v>
      </c>
      <c r="J78" s="42">
        <f t="shared" si="10"/>
        <v>57108.6</v>
      </c>
      <c r="K78" s="24"/>
      <c r="L78" s="26"/>
      <c r="M78" s="454"/>
      <c r="N78" s="455"/>
      <c r="O78" s="455"/>
      <c r="P78" s="456"/>
      <c r="Q78" s="453"/>
    </row>
    <row r="79" spans="1:17" s="8" customFormat="1" ht="12" x14ac:dyDescent="0.2">
      <c r="A79" s="53" t="s">
        <v>218</v>
      </c>
      <c r="B79" s="11"/>
      <c r="C79" s="11"/>
      <c r="D79" s="12" t="s">
        <v>45</v>
      </c>
      <c r="E79" s="13"/>
      <c r="F79" s="46"/>
      <c r="G79" s="14"/>
      <c r="H79" s="14"/>
      <c r="I79" s="14"/>
      <c r="J79" s="37"/>
      <c r="K79" s="24"/>
      <c r="L79" s="26"/>
      <c r="M79" s="460"/>
      <c r="N79" s="455"/>
      <c r="O79" s="455"/>
      <c r="P79" s="456"/>
      <c r="Q79" s="453"/>
    </row>
    <row r="80" spans="1:17" s="8" customFormat="1" ht="12" x14ac:dyDescent="0.2">
      <c r="A80" s="38" t="s">
        <v>244</v>
      </c>
      <c r="B80" s="39"/>
      <c r="C80" s="39" t="s">
        <v>100</v>
      </c>
      <c r="D80" s="40" t="s">
        <v>46</v>
      </c>
      <c r="E80" s="41" t="s">
        <v>7</v>
      </c>
      <c r="F80" s="45">
        <v>7</v>
      </c>
      <c r="G80" s="42">
        <v>690.18</v>
      </c>
      <c r="H80" s="42">
        <v>1002.24</v>
      </c>
      <c r="I80" s="42">
        <f>ROUND(H80*(1+$E$168),2)</f>
        <v>1212.4100000000001</v>
      </c>
      <c r="J80" s="42">
        <f t="shared" si="10"/>
        <v>8486.8700000000008</v>
      </c>
      <c r="K80" s="24"/>
      <c r="L80" s="26"/>
      <c r="M80" s="454"/>
      <c r="N80" s="455"/>
      <c r="O80" s="455"/>
      <c r="P80" s="456"/>
      <c r="Q80" s="453"/>
    </row>
    <row r="81" spans="1:17" s="8" customFormat="1" ht="12" x14ac:dyDescent="0.2">
      <c r="A81" s="38" t="s">
        <v>245</v>
      </c>
      <c r="B81" s="39"/>
      <c r="C81" s="39" t="s">
        <v>100</v>
      </c>
      <c r="D81" s="40" t="s">
        <v>47</v>
      </c>
      <c r="E81" s="41" t="s">
        <v>7</v>
      </c>
      <c r="F81" s="45">
        <v>12</v>
      </c>
      <c r="G81" s="42">
        <v>759.67</v>
      </c>
      <c r="H81" s="42">
        <v>1351.13</v>
      </c>
      <c r="I81" s="42">
        <f>ROUND(H81*(1+$E$168),2)</f>
        <v>1634.46</v>
      </c>
      <c r="J81" s="42">
        <f t="shared" si="10"/>
        <v>19613.52</v>
      </c>
      <c r="K81" s="24"/>
      <c r="L81" s="26"/>
      <c r="M81" s="454"/>
      <c r="N81" s="455"/>
      <c r="O81" s="455"/>
      <c r="P81" s="456"/>
      <c r="Q81" s="453"/>
    </row>
    <row r="82" spans="1:17" s="8" customFormat="1" ht="12" hidden="1" x14ac:dyDescent="0.2">
      <c r="A82" s="38" t="s">
        <v>246</v>
      </c>
      <c r="B82" s="11"/>
      <c r="C82" s="11" t="s">
        <v>100</v>
      </c>
      <c r="D82" s="12" t="s">
        <v>48</v>
      </c>
      <c r="E82" s="13" t="s">
        <v>7</v>
      </c>
      <c r="F82" s="46"/>
      <c r="G82" s="14"/>
      <c r="H82" s="14"/>
      <c r="I82" s="14"/>
      <c r="J82" s="37"/>
      <c r="K82" s="24"/>
      <c r="L82" s="26"/>
      <c r="M82" s="460"/>
      <c r="N82" s="455"/>
      <c r="O82" s="455"/>
      <c r="P82" s="456"/>
      <c r="Q82" s="453"/>
    </row>
    <row r="83" spans="1:17" s="8" customFormat="1" ht="12" x14ac:dyDescent="0.2">
      <c r="A83" s="38" t="s">
        <v>247</v>
      </c>
      <c r="B83" s="39"/>
      <c r="C83" s="39" t="s">
        <v>100</v>
      </c>
      <c r="D83" s="40" t="s">
        <v>142</v>
      </c>
      <c r="E83" s="41" t="s">
        <v>7</v>
      </c>
      <c r="F83" s="45">
        <v>2</v>
      </c>
      <c r="G83" s="42">
        <v>2329.59</v>
      </c>
      <c r="H83" s="42">
        <v>3356.59</v>
      </c>
      <c r="I83" s="42">
        <f>ROUND(H83*(1+$E$168),2)</f>
        <v>4060.47</v>
      </c>
      <c r="J83" s="42">
        <f t="shared" si="10"/>
        <v>8120.94</v>
      </c>
      <c r="K83" s="24"/>
      <c r="L83" s="26"/>
      <c r="M83" s="454"/>
      <c r="N83" s="455"/>
      <c r="O83" s="455"/>
      <c r="P83" s="456"/>
      <c r="Q83" s="453"/>
    </row>
    <row r="84" spans="1:17" s="8" customFormat="1" ht="12" x14ac:dyDescent="0.2">
      <c r="A84" s="53" t="s">
        <v>219</v>
      </c>
      <c r="B84" s="11"/>
      <c r="C84" s="11"/>
      <c r="D84" s="12" t="s">
        <v>143</v>
      </c>
      <c r="E84" s="13"/>
      <c r="F84" s="46"/>
      <c r="G84" s="14"/>
      <c r="H84" s="14"/>
      <c r="I84" s="14"/>
      <c r="J84" s="37"/>
      <c r="K84" s="24"/>
      <c r="L84" s="26"/>
      <c r="M84" s="460"/>
      <c r="N84" s="455"/>
      <c r="O84" s="455"/>
      <c r="P84" s="456"/>
      <c r="Q84" s="453"/>
    </row>
    <row r="85" spans="1:17" s="8" customFormat="1" ht="12" x14ac:dyDescent="0.2">
      <c r="A85" s="38" t="s">
        <v>248</v>
      </c>
      <c r="B85" s="39"/>
      <c r="C85" s="39" t="s">
        <v>100</v>
      </c>
      <c r="D85" s="40" t="s">
        <v>46</v>
      </c>
      <c r="E85" s="41" t="s">
        <v>7</v>
      </c>
      <c r="F85" s="45">
        <v>3</v>
      </c>
      <c r="G85" s="42">
        <v>334.93</v>
      </c>
      <c r="H85" s="42">
        <v>802.58</v>
      </c>
      <c r="I85" s="42">
        <f>ROUND(H85*(1+$E$168),2)</f>
        <v>970.88</v>
      </c>
      <c r="J85" s="42">
        <f t="shared" si="10"/>
        <v>2912.64</v>
      </c>
      <c r="K85" s="24"/>
      <c r="L85" s="26"/>
      <c r="M85" s="454"/>
      <c r="N85" s="455"/>
      <c r="O85" s="455"/>
      <c r="P85" s="456"/>
      <c r="Q85" s="453"/>
    </row>
    <row r="86" spans="1:17" s="8" customFormat="1" ht="12" x14ac:dyDescent="0.2">
      <c r="A86" s="38" t="s">
        <v>249</v>
      </c>
      <c r="B86" s="39"/>
      <c r="C86" s="39" t="s">
        <v>100</v>
      </c>
      <c r="D86" s="40" t="s">
        <v>47</v>
      </c>
      <c r="E86" s="41" t="s">
        <v>7</v>
      </c>
      <c r="F86" s="45">
        <v>1</v>
      </c>
      <c r="G86" s="42">
        <v>507.1</v>
      </c>
      <c r="H86" s="42">
        <v>1205.56</v>
      </c>
      <c r="I86" s="42">
        <f>ROUND(H86*(1+$E$168),2)</f>
        <v>1458.37</v>
      </c>
      <c r="J86" s="42">
        <f t="shared" si="10"/>
        <v>1458.37</v>
      </c>
      <c r="K86" s="24"/>
      <c r="L86" s="26"/>
      <c r="M86" s="454"/>
      <c r="N86" s="455"/>
      <c r="O86" s="455"/>
      <c r="P86" s="456"/>
      <c r="Q86" s="453"/>
    </row>
    <row r="87" spans="1:17" s="8" customFormat="1" ht="12" hidden="1" x14ac:dyDescent="0.2">
      <c r="A87" s="38" t="s">
        <v>250</v>
      </c>
      <c r="B87" s="11"/>
      <c r="C87" s="11" t="s">
        <v>100</v>
      </c>
      <c r="D87" s="12" t="s">
        <v>48</v>
      </c>
      <c r="E87" s="13" t="s">
        <v>7</v>
      </c>
      <c r="F87" s="46"/>
      <c r="G87" s="14"/>
      <c r="H87" s="14"/>
      <c r="I87" s="14"/>
      <c r="J87" s="37"/>
      <c r="K87" s="24"/>
      <c r="L87" s="26"/>
      <c r="M87" s="460"/>
      <c r="N87" s="455"/>
      <c r="O87" s="455"/>
      <c r="P87" s="456"/>
      <c r="Q87" s="453"/>
    </row>
    <row r="88" spans="1:17" s="8" customFormat="1" ht="12" x14ac:dyDescent="0.2">
      <c r="A88" s="38" t="s">
        <v>250</v>
      </c>
      <c r="B88" s="39"/>
      <c r="C88" s="39" t="s">
        <v>100</v>
      </c>
      <c r="D88" s="40" t="s">
        <v>142</v>
      </c>
      <c r="E88" s="41" t="s">
        <v>7</v>
      </c>
      <c r="F88" s="45">
        <v>2</v>
      </c>
      <c r="G88" s="42">
        <v>2072.64</v>
      </c>
      <c r="H88" s="42">
        <v>3403.53</v>
      </c>
      <c r="I88" s="42">
        <f>ROUND(H88*(1+$E$168),2)</f>
        <v>4117.25</v>
      </c>
      <c r="J88" s="42">
        <f t="shared" si="10"/>
        <v>8234.5</v>
      </c>
      <c r="K88" s="24"/>
      <c r="L88" s="26"/>
      <c r="M88" s="454"/>
      <c r="N88" s="455"/>
      <c r="O88" s="455"/>
      <c r="P88" s="456"/>
      <c r="Q88" s="453"/>
    </row>
    <row r="89" spans="1:17" s="8" customFormat="1" ht="12" x14ac:dyDescent="0.2">
      <c r="A89" s="10" t="s">
        <v>220</v>
      </c>
      <c r="B89" s="11"/>
      <c r="C89" s="11"/>
      <c r="D89" s="12" t="s">
        <v>38</v>
      </c>
      <c r="E89" s="13"/>
      <c r="F89" s="46"/>
      <c r="G89" s="14"/>
      <c r="H89" s="14"/>
      <c r="I89" s="14"/>
      <c r="J89" s="14"/>
      <c r="K89" s="24"/>
      <c r="L89" s="26"/>
      <c r="M89" s="460"/>
      <c r="N89" s="455"/>
      <c r="O89" s="455"/>
      <c r="P89" s="456"/>
      <c r="Q89" s="453"/>
    </row>
    <row r="90" spans="1:17" s="8" customFormat="1" x14ac:dyDescent="0.2">
      <c r="A90" s="10" t="s">
        <v>252</v>
      </c>
      <c r="B90" s="11"/>
      <c r="C90" s="273"/>
      <c r="D90" s="12" t="s">
        <v>39</v>
      </c>
      <c r="E90" s="13"/>
      <c r="F90" s="46"/>
      <c r="G90" s="14"/>
      <c r="H90" s="14"/>
      <c r="I90" s="14"/>
      <c r="J90" s="14"/>
      <c r="K90" s="24"/>
      <c r="L90" s="26"/>
      <c r="M90" s="460"/>
      <c r="N90" s="455"/>
      <c r="O90" s="455"/>
      <c r="P90" s="456"/>
      <c r="Q90" s="453"/>
    </row>
    <row r="91" spans="1:17" s="58" customFormat="1" ht="12" x14ac:dyDescent="0.2">
      <c r="A91" s="38" t="s">
        <v>380</v>
      </c>
      <c r="B91" s="39" t="s">
        <v>24</v>
      </c>
      <c r="C91" s="52" t="s">
        <v>497</v>
      </c>
      <c r="D91" s="40" t="s">
        <v>498</v>
      </c>
      <c r="E91" s="41" t="s">
        <v>9</v>
      </c>
      <c r="F91" s="45">
        <f>150+154</f>
        <v>304</v>
      </c>
      <c r="G91" s="42">
        <v>7.72</v>
      </c>
      <c r="H91" s="42">
        <v>45.65</v>
      </c>
      <c r="I91" s="42">
        <f>ROUND(H91*(1+$E$168),2)</f>
        <v>55.22</v>
      </c>
      <c r="J91" s="42">
        <f t="shared" ref="J91:J111" si="12">ROUND(F91*I91,2)</f>
        <v>16786.88</v>
      </c>
      <c r="K91" s="54"/>
      <c r="L91" s="55"/>
      <c r="M91" s="454"/>
      <c r="N91" s="457"/>
      <c r="O91" s="457"/>
      <c r="P91" s="458"/>
      <c r="Q91" s="459"/>
    </row>
    <row r="92" spans="1:17" s="8" customFormat="1" ht="12" x14ac:dyDescent="0.2">
      <c r="A92" s="38" t="s">
        <v>381</v>
      </c>
      <c r="B92" s="39" t="s">
        <v>23</v>
      </c>
      <c r="C92" s="39">
        <v>2003849</v>
      </c>
      <c r="D92" s="40" t="s">
        <v>212</v>
      </c>
      <c r="E92" s="41" t="s">
        <v>5</v>
      </c>
      <c r="F92" s="45">
        <f>(149.54*0.07)+(153.62*0.09)</f>
        <v>24.293599999999998</v>
      </c>
      <c r="G92" s="42">
        <v>91.67</v>
      </c>
      <c r="H92" s="42">
        <v>66.44</v>
      </c>
      <c r="I92" s="42">
        <f>ROUND(H92*(1+$E$168),2)</f>
        <v>80.37</v>
      </c>
      <c r="J92" s="42">
        <f t="shared" si="12"/>
        <v>1952.48</v>
      </c>
      <c r="K92" s="24"/>
      <c r="L92" s="26"/>
      <c r="M92" s="454"/>
      <c r="N92" s="455"/>
      <c r="O92" s="455"/>
      <c r="P92" s="456"/>
      <c r="Q92" s="453"/>
    </row>
    <row r="93" spans="1:17" s="8" customFormat="1" ht="12" x14ac:dyDescent="0.2">
      <c r="A93" s="38" t="s">
        <v>382</v>
      </c>
      <c r="B93" s="39" t="s">
        <v>24</v>
      </c>
      <c r="C93" s="39">
        <v>72844</v>
      </c>
      <c r="D93" s="40" t="s">
        <v>175</v>
      </c>
      <c r="E93" s="41" t="s">
        <v>8</v>
      </c>
      <c r="F93" s="45">
        <f>F92*1.8</f>
        <v>43.728479999999998</v>
      </c>
      <c r="G93" s="42">
        <v>0.66</v>
      </c>
      <c r="H93" s="42">
        <v>0.7</v>
      </c>
      <c r="I93" s="42">
        <f>ROUND(H93*(1+$E$168),2)</f>
        <v>0.85</v>
      </c>
      <c r="J93" s="42">
        <f t="shared" si="12"/>
        <v>37.17</v>
      </c>
      <c r="K93" s="24"/>
      <c r="L93" s="26"/>
      <c r="M93" s="454"/>
      <c r="N93" s="455"/>
      <c r="O93" s="455"/>
      <c r="P93" s="456"/>
      <c r="Q93" s="453"/>
    </row>
    <row r="94" spans="1:17" s="58" customFormat="1" ht="12" x14ac:dyDescent="0.2">
      <c r="A94" s="38" t="s">
        <v>383</v>
      </c>
      <c r="B94" s="39" t="s">
        <v>23</v>
      </c>
      <c r="C94" s="39">
        <v>5914389</v>
      </c>
      <c r="D94" s="40" t="s">
        <v>145</v>
      </c>
      <c r="E94" s="41" t="s">
        <v>35</v>
      </c>
      <c r="F94" s="45">
        <f>ROUND((F93*9),2)</f>
        <v>393.56</v>
      </c>
      <c r="G94" s="42">
        <v>0.4</v>
      </c>
      <c r="H94" s="42">
        <v>0.47</v>
      </c>
      <c r="I94" s="42">
        <f>ROUND(H94*(1+$E$168),2)</f>
        <v>0.56999999999999995</v>
      </c>
      <c r="J94" s="42">
        <f t="shared" si="12"/>
        <v>224.33</v>
      </c>
      <c r="K94" s="54"/>
      <c r="L94" s="55"/>
      <c r="M94" s="454"/>
      <c r="N94" s="457"/>
      <c r="O94" s="457"/>
      <c r="P94" s="458"/>
      <c r="Q94" s="459"/>
    </row>
    <row r="95" spans="1:17" s="8" customFormat="1" ht="12" x14ac:dyDescent="0.2">
      <c r="A95" s="10" t="s">
        <v>384</v>
      </c>
      <c r="B95" s="11"/>
      <c r="C95" s="11"/>
      <c r="D95" s="12" t="s">
        <v>483</v>
      </c>
      <c r="E95" s="13"/>
      <c r="F95" s="46"/>
      <c r="G95" s="14"/>
      <c r="H95" s="14"/>
      <c r="I95" s="14"/>
      <c r="J95" s="37"/>
      <c r="K95" s="24"/>
      <c r="L95" s="26"/>
      <c r="M95" s="460"/>
      <c r="N95" s="455"/>
      <c r="O95" s="455"/>
      <c r="P95" s="456"/>
      <c r="Q95" s="453"/>
    </row>
    <row r="96" spans="1:17" s="58" customFormat="1" ht="12" x14ac:dyDescent="0.2">
      <c r="A96" s="38" t="s">
        <v>385</v>
      </c>
      <c r="B96" s="39" t="s">
        <v>23</v>
      </c>
      <c r="C96" s="52" t="s">
        <v>432</v>
      </c>
      <c r="D96" s="40" t="s">
        <v>433</v>
      </c>
      <c r="E96" s="41" t="s">
        <v>7</v>
      </c>
      <c r="F96" s="45">
        <v>2</v>
      </c>
      <c r="G96" s="42">
        <v>299.27999999999997</v>
      </c>
      <c r="H96" s="42">
        <v>3607.23</v>
      </c>
      <c r="I96" s="42">
        <f>ROUND(H96*(1+$E$168),2)</f>
        <v>4363.67</v>
      </c>
      <c r="J96" s="42">
        <f t="shared" si="12"/>
        <v>8727.34</v>
      </c>
      <c r="K96" s="54"/>
      <c r="L96" s="55"/>
      <c r="M96" s="454"/>
      <c r="N96" s="457"/>
      <c r="O96" s="457"/>
      <c r="P96" s="458"/>
      <c r="Q96" s="459"/>
    </row>
    <row r="97" spans="1:31" s="8" customFormat="1" ht="12" x14ac:dyDescent="0.2">
      <c r="A97" s="53" t="s">
        <v>485</v>
      </c>
      <c r="B97" s="60"/>
      <c r="C97" s="263"/>
      <c r="D97" s="111" t="s">
        <v>484</v>
      </c>
      <c r="E97" s="62"/>
      <c r="F97" s="173"/>
      <c r="G97" s="63"/>
      <c r="H97" s="63"/>
      <c r="I97" s="63"/>
      <c r="J97" s="63"/>
      <c r="K97" s="24"/>
      <c r="L97" s="26"/>
      <c r="M97" s="264"/>
      <c r="N97" s="455"/>
      <c r="O97" s="455"/>
      <c r="P97" s="456"/>
      <c r="Q97" s="453"/>
    </row>
    <row r="98" spans="1:31" s="58" customFormat="1" ht="12" x14ac:dyDescent="0.2">
      <c r="A98" s="38" t="s">
        <v>486</v>
      </c>
      <c r="B98" s="39" t="s">
        <v>24</v>
      </c>
      <c r="C98" s="39">
        <v>94963</v>
      </c>
      <c r="D98" s="40" t="s">
        <v>479</v>
      </c>
      <c r="E98" s="41" t="s">
        <v>5</v>
      </c>
      <c r="F98" s="45">
        <f>45*0.69</f>
        <v>31.049999999999997</v>
      </c>
      <c r="G98" s="45">
        <v>299.27999999999997</v>
      </c>
      <c r="H98" s="45">
        <v>277.85000000000002</v>
      </c>
      <c r="I98" s="42">
        <f t="shared" ref="I98:I101" si="13">ROUND(H98*(1+$E$168),2)</f>
        <v>336.12</v>
      </c>
      <c r="J98" s="45">
        <f t="shared" si="12"/>
        <v>10436.530000000001</v>
      </c>
      <c r="K98" s="65"/>
      <c r="L98" s="55"/>
      <c r="M98" s="461"/>
      <c r="N98" s="462"/>
      <c r="O98" s="462"/>
      <c r="P98" s="458"/>
      <c r="Q98" s="459"/>
    </row>
    <row r="99" spans="1:31" s="58" customFormat="1" ht="12" x14ac:dyDescent="0.2">
      <c r="A99" s="38" t="s">
        <v>487</v>
      </c>
      <c r="B99" s="39" t="s">
        <v>24</v>
      </c>
      <c r="C99" s="39" t="s">
        <v>87</v>
      </c>
      <c r="D99" s="40" t="s">
        <v>480</v>
      </c>
      <c r="E99" s="41" t="s">
        <v>5</v>
      </c>
      <c r="F99" s="45">
        <f>F98</f>
        <v>31.049999999999997</v>
      </c>
      <c r="G99" s="45">
        <v>101.01</v>
      </c>
      <c r="H99" s="45">
        <v>109.19</v>
      </c>
      <c r="I99" s="42">
        <f t="shared" si="13"/>
        <v>132.09</v>
      </c>
      <c r="J99" s="45">
        <f t="shared" si="12"/>
        <v>4101.3900000000003</v>
      </c>
      <c r="K99" s="65"/>
      <c r="L99" s="55"/>
      <c r="M99" s="461"/>
      <c r="N99" s="462"/>
      <c r="O99" s="462"/>
      <c r="P99" s="458"/>
      <c r="Q99" s="459"/>
    </row>
    <row r="100" spans="1:31" s="58" customFormat="1" ht="12" x14ac:dyDescent="0.2">
      <c r="A100" s="38" t="s">
        <v>488</v>
      </c>
      <c r="B100" s="39" t="s">
        <v>23</v>
      </c>
      <c r="C100" s="39">
        <v>3103302</v>
      </c>
      <c r="D100" s="40" t="s">
        <v>482</v>
      </c>
      <c r="E100" s="41" t="s">
        <v>6</v>
      </c>
      <c r="F100" s="45">
        <f>0.3*45</f>
        <v>13.5</v>
      </c>
      <c r="G100" s="45">
        <v>26.42</v>
      </c>
      <c r="H100" s="45">
        <v>58.22</v>
      </c>
      <c r="I100" s="42">
        <f t="shared" si="13"/>
        <v>70.430000000000007</v>
      </c>
      <c r="J100" s="45">
        <f t="shared" si="12"/>
        <v>950.81</v>
      </c>
      <c r="K100" s="65"/>
      <c r="L100" s="55"/>
      <c r="M100" s="461"/>
      <c r="N100" s="462"/>
      <c r="O100" s="462"/>
      <c r="P100" s="458"/>
      <c r="Q100" s="459"/>
    </row>
    <row r="101" spans="1:31" s="58" customFormat="1" ht="12" x14ac:dyDescent="0.2">
      <c r="A101" s="38" t="s">
        <v>489</v>
      </c>
      <c r="B101" s="39" t="s">
        <v>24</v>
      </c>
      <c r="C101" s="39" t="s">
        <v>3</v>
      </c>
      <c r="D101" s="40" t="s">
        <v>481</v>
      </c>
      <c r="E101" s="41" t="s">
        <v>4</v>
      </c>
      <c r="F101" s="45">
        <f>12.25*45</f>
        <v>551.25</v>
      </c>
      <c r="G101" s="45">
        <v>6.34</v>
      </c>
      <c r="H101" s="45">
        <v>6.29</v>
      </c>
      <c r="I101" s="42">
        <f t="shared" si="13"/>
        <v>7.61</v>
      </c>
      <c r="J101" s="45">
        <f t="shared" si="12"/>
        <v>4195.01</v>
      </c>
      <c r="K101" s="65"/>
      <c r="L101" s="55"/>
      <c r="M101" s="461"/>
      <c r="N101" s="462"/>
      <c r="O101" s="462"/>
      <c r="P101" s="458"/>
      <c r="Q101" s="459"/>
    </row>
    <row r="102" spans="1:31" s="8" customFormat="1" ht="12" x14ac:dyDescent="0.2">
      <c r="A102" s="10" t="s">
        <v>221</v>
      </c>
      <c r="B102" s="11"/>
      <c r="C102" s="11"/>
      <c r="D102" s="12" t="s">
        <v>43</v>
      </c>
      <c r="E102" s="13"/>
      <c r="F102" s="46"/>
      <c r="G102" s="14"/>
      <c r="H102" s="14"/>
      <c r="I102" s="14"/>
      <c r="J102" s="37"/>
      <c r="K102" s="24"/>
      <c r="L102" s="26"/>
      <c r="M102" s="460"/>
      <c r="N102" s="455"/>
      <c r="O102" s="455"/>
      <c r="P102" s="456"/>
      <c r="Q102" s="453"/>
    </row>
    <row r="103" spans="1:31" s="58" customFormat="1" ht="24" x14ac:dyDescent="0.2">
      <c r="A103" s="38" t="s">
        <v>253</v>
      </c>
      <c r="B103" s="39" t="s">
        <v>24</v>
      </c>
      <c r="C103" s="39">
        <v>6077</v>
      </c>
      <c r="D103" s="40" t="s">
        <v>178</v>
      </c>
      <c r="E103" s="41" t="s">
        <v>5</v>
      </c>
      <c r="F103" s="45">
        <v>809.32740000000001</v>
      </c>
      <c r="G103" s="42">
        <v>17.45</v>
      </c>
      <c r="H103" s="42">
        <v>20.21</v>
      </c>
      <c r="I103" s="42">
        <f>ROUND(H103*(1+$E$168),2)</f>
        <v>24.45</v>
      </c>
      <c r="J103" s="42">
        <f t="shared" si="12"/>
        <v>19788.05</v>
      </c>
      <c r="K103" s="24"/>
      <c r="L103" s="26"/>
      <c r="M103" s="454"/>
      <c r="N103" s="455"/>
      <c r="O103" s="455"/>
      <c r="P103" s="456"/>
      <c r="Q103" s="453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s="8" customFormat="1" ht="12" x14ac:dyDescent="0.2">
      <c r="A104" s="38" t="s">
        <v>254</v>
      </c>
      <c r="B104" s="39" t="s">
        <v>24</v>
      </c>
      <c r="C104" s="39">
        <v>93368</v>
      </c>
      <c r="D104" s="40" t="s">
        <v>146</v>
      </c>
      <c r="E104" s="41" t="s">
        <v>5</v>
      </c>
      <c r="F104" s="45">
        <f>F103</f>
        <v>809.32740000000001</v>
      </c>
      <c r="G104" s="42">
        <v>11.47</v>
      </c>
      <c r="H104" s="42">
        <v>11.21</v>
      </c>
      <c r="I104" s="42">
        <f>ROUND(H104*(1+$E$168),2)</f>
        <v>13.56</v>
      </c>
      <c r="J104" s="42">
        <f t="shared" si="12"/>
        <v>10974.48</v>
      </c>
      <c r="K104" s="24"/>
      <c r="L104" s="26"/>
      <c r="M104" s="454"/>
      <c r="N104" s="455"/>
      <c r="O104" s="455"/>
      <c r="P104" s="456"/>
      <c r="Q104" s="453"/>
    </row>
    <row r="105" spans="1:31" s="8" customFormat="1" ht="12" x14ac:dyDescent="0.2">
      <c r="A105" s="38" t="s">
        <v>386</v>
      </c>
      <c r="B105" s="39" t="s">
        <v>24</v>
      </c>
      <c r="C105" s="39">
        <v>72844</v>
      </c>
      <c r="D105" s="40" t="s">
        <v>175</v>
      </c>
      <c r="E105" s="41" t="s">
        <v>8</v>
      </c>
      <c r="F105" s="45">
        <f>F104*1.84</f>
        <v>1489.1624160000001</v>
      </c>
      <c r="G105" s="42">
        <v>0.66</v>
      </c>
      <c r="H105" s="42">
        <v>0.7</v>
      </c>
      <c r="I105" s="42">
        <f>ROUND(H105*(1+$E$168),2)</f>
        <v>0.85</v>
      </c>
      <c r="J105" s="42">
        <f t="shared" si="12"/>
        <v>1265.79</v>
      </c>
      <c r="K105" s="24"/>
      <c r="L105" s="26"/>
      <c r="M105" s="454"/>
      <c r="N105" s="455"/>
      <c r="O105" s="455"/>
      <c r="P105" s="456"/>
      <c r="Q105" s="453"/>
    </row>
    <row r="106" spans="1:31" s="58" customFormat="1" ht="12" x14ac:dyDescent="0.2">
      <c r="A106" s="38" t="s">
        <v>387</v>
      </c>
      <c r="B106" s="39" t="s">
        <v>23</v>
      </c>
      <c r="C106" s="39">
        <v>5914389</v>
      </c>
      <c r="D106" s="40" t="s">
        <v>145</v>
      </c>
      <c r="E106" s="41" t="s">
        <v>35</v>
      </c>
      <c r="F106" s="45">
        <f>F105*9</f>
        <v>13402.461744</v>
      </c>
      <c r="G106" s="42">
        <v>0.4</v>
      </c>
      <c r="H106" s="42">
        <v>0.47</v>
      </c>
      <c r="I106" s="42">
        <f>ROUND(H106*(1+$E$168),2)</f>
        <v>0.56999999999999995</v>
      </c>
      <c r="J106" s="42">
        <f t="shared" si="12"/>
        <v>7639.4</v>
      </c>
      <c r="K106" s="24"/>
      <c r="L106" s="26"/>
      <c r="M106" s="454"/>
      <c r="N106" s="455"/>
      <c r="O106" s="455"/>
      <c r="P106" s="456"/>
      <c r="Q106" s="453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s="8" customFormat="1" ht="12" x14ac:dyDescent="0.2">
      <c r="A107" s="10" t="s">
        <v>237</v>
      </c>
      <c r="B107" s="11"/>
      <c r="C107" s="11"/>
      <c r="D107" s="12" t="s">
        <v>51</v>
      </c>
      <c r="E107" s="13"/>
      <c r="F107" s="46"/>
      <c r="G107" s="14"/>
      <c r="H107" s="14"/>
      <c r="I107" s="37"/>
      <c r="J107" s="37"/>
      <c r="K107" s="24"/>
      <c r="L107" s="26"/>
      <c r="M107" s="460"/>
      <c r="N107" s="455"/>
      <c r="O107" s="455"/>
      <c r="P107" s="456"/>
      <c r="Q107" s="453"/>
    </row>
    <row r="108" spans="1:31" s="58" customFormat="1" ht="12" x14ac:dyDescent="0.2">
      <c r="A108" s="38" t="s">
        <v>255</v>
      </c>
      <c r="B108" s="39" t="s">
        <v>24</v>
      </c>
      <c r="C108" s="52" t="s">
        <v>435</v>
      </c>
      <c r="D108" s="40" t="s">
        <v>436</v>
      </c>
      <c r="E108" s="41" t="s">
        <v>5</v>
      </c>
      <c r="F108" s="45">
        <f>89.058</f>
        <v>89.058000000000007</v>
      </c>
      <c r="G108" s="42">
        <v>13.35</v>
      </c>
      <c r="H108" s="42">
        <v>65.56</v>
      </c>
      <c r="I108" s="42">
        <f>ROUND(H108*(1+$E$168),2)</f>
        <v>79.31</v>
      </c>
      <c r="J108" s="42">
        <f t="shared" si="12"/>
        <v>7063.19</v>
      </c>
      <c r="K108" s="54"/>
      <c r="L108" s="55"/>
      <c r="M108" s="454"/>
      <c r="N108" s="457"/>
      <c r="O108" s="457"/>
      <c r="P108" s="458"/>
      <c r="Q108" s="459"/>
    </row>
    <row r="109" spans="1:31" s="8" customFormat="1" ht="24" x14ac:dyDescent="0.2">
      <c r="A109" s="38" t="s">
        <v>256</v>
      </c>
      <c r="B109" s="39" t="s">
        <v>23</v>
      </c>
      <c r="C109" s="52" t="s">
        <v>471</v>
      </c>
      <c r="D109" s="40" t="s">
        <v>434</v>
      </c>
      <c r="E109" s="41" t="s">
        <v>9</v>
      </c>
      <c r="F109" s="45">
        <f>27+18+19+19+18+19</f>
        <v>120</v>
      </c>
      <c r="G109" s="42">
        <v>89</v>
      </c>
      <c r="H109" s="42">
        <v>59.6</v>
      </c>
      <c r="I109" s="42">
        <f>ROUND(H109*(1+$E$168),2)</f>
        <v>72.099999999999994</v>
      </c>
      <c r="J109" s="42">
        <f t="shared" si="12"/>
        <v>8652</v>
      </c>
      <c r="K109" s="24"/>
      <c r="L109" s="26"/>
      <c r="M109" s="454"/>
      <c r="N109" s="455"/>
      <c r="O109" s="455"/>
      <c r="P109" s="456"/>
      <c r="Q109" s="453"/>
    </row>
    <row r="110" spans="1:31" s="58" customFormat="1" ht="12" x14ac:dyDescent="0.2">
      <c r="A110" s="38" t="s">
        <v>257</v>
      </c>
      <c r="B110" s="39" t="s">
        <v>24</v>
      </c>
      <c r="C110" s="39">
        <v>72844</v>
      </c>
      <c r="D110" s="40" t="s">
        <v>175</v>
      </c>
      <c r="E110" s="41" t="s">
        <v>8</v>
      </c>
      <c r="F110" s="45">
        <f>F108*1.55</f>
        <v>138.03990000000002</v>
      </c>
      <c r="G110" s="42">
        <v>0.66</v>
      </c>
      <c r="H110" s="42">
        <v>0.7</v>
      </c>
      <c r="I110" s="42">
        <f>ROUND(H110*(1+$E$168),2)</f>
        <v>0.85</v>
      </c>
      <c r="J110" s="42">
        <f t="shared" si="12"/>
        <v>117.33</v>
      </c>
      <c r="K110" s="24"/>
      <c r="L110" s="26"/>
      <c r="M110" s="454"/>
      <c r="N110" s="455"/>
      <c r="O110" s="455"/>
      <c r="P110" s="456"/>
      <c r="Q110" s="45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s="58" customFormat="1" ht="12" x14ac:dyDescent="0.2">
      <c r="A111" s="38" t="s">
        <v>258</v>
      </c>
      <c r="B111" s="39" t="s">
        <v>23</v>
      </c>
      <c r="C111" s="39">
        <v>5914389</v>
      </c>
      <c r="D111" s="40" t="s">
        <v>145</v>
      </c>
      <c r="E111" s="41" t="s">
        <v>35</v>
      </c>
      <c r="F111" s="45">
        <f>F110*4</f>
        <v>552.15960000000007</v>
      </c>
      <c r="G111" s="42">
        <v>0.4</v>
      </c>
      <c r="H111" s="42">
        <v>0.47</v>
      </c>
      <c r="I111" s="42">
        <f>ROUND(H111*(1+$E$168),2)</f>
        <v>0.56999999999999995</v>
      </c>
      <c r="J111" s="42">
        <f t="shared" si="12"/>
        <v>314.73</v>
      </c>
      <c r="K111" s="24"/>
      <c r="L111" s="26"/>
      <c r="M111" s="454"/>
      <c r="N111" s="455"/>
      <c r="O111" s="455"/>
      <c r="P111" s="456"/>
      <c r="Q111" s="45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s="32" customFormat="1" ht="12" x14ac:dyDescent="0.2">
      <c r="A112" s="53"/>
      <c r="B112" s="28"/>
      <c r="C112" s="28"/>
      <c r="D112" s="29" t="s">
        <v>172</v>
      </c>
      <c r="E112" s="27"/>
      <c r="F112" s="30"/>
      <c r="G112" s="30"/>
      <c r="H112" s="30"/>
      <c r="I112" s="30"/>
      <c r="J112" s="31">
        <f>SUM(J69:J111)</f>
        <v>266564.02</v>
      </c>
      <c r="K112" s="159"/>
      <c r="L112" s="33"/>
      <c r="M112" s="463"/>
      <c r="N112" s="452"/>
      <c r="O112" s="452"/>
      <c r="P112" s="452"/>
      <c r="Q112" s="453"/>
      <c r="R112" s="26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s="8" customFormat="1" ht="12" x14ac:dyDescent="0.2">
      <c r="A113" s="53"/>
      <c r="B113" s="11"/>
      <c r="C113" s="11"/>
      <c r="D113" s="12"/>
      <c r="E113" s="13"/>
      <c r="F113" s="14"/>
      <c r="G113" s="14"/>
      <c r="H113" s="14"/>
      <c r="I113" s="14"/>
      <c r="J113" s="14"/>
      <c r="K113" s="24"/>
      <c r="L113" s="26"/>
      <c r="M113" s="464"/>
      <c r="N113" s="452"/>
      <c r="O113" s="452"/>
      <c r="P113" s="452"/>
      <c r="Q113" s="453"/>
    </row>
    <row r="114" spans="1:31" s="8" customFormat="1" ht="12" x14ac:dyDescent="0.2">
      <c r="A114" s="25">
        <v>3</v>
      </c>
      <c r="B114" s="5"/>
      <c r="C114" s="5"/>
      <c r="D114" s="6" t="s">
        <v>72</v>
      </c>
      <c r="E114" s="267"/>
      <c r="F114" s="7"/>
      <c r="G114" s="7"/>
      <c r="H114" s="7"/>
      <c r="I114" s="7"/>
      <c r="J114" s="7"/>
      <c r="K114" s="24"/>
      <c r="L114" s="26"/>
      <c r="M114" s="465"/>
      <c r="N114" s="452"/>
      <c r="O114" s="452"/>
      <c r="P114" s="452"/>
      <c r="Q114" s="453"/>
    </row>
    <row r="115" spans="1:31" s="8" customFormat="1" ht="12" hidden="1" x14ac:dyDescent="0.2">
      <c r="A115" s="144" t="s">
        <v>62</v>
      </c>
      <c r="B115" s="39" t="s">
        <v>23</v>
      </c>
      <c r="C115" s="39" t="s">
        <v>13</v>
      </c>
      <c r="D115" s="40" t="s">
        <v>73</v>
      </c>
      <c r="E115" s="41" t="s">
        <v>6</v>
      </c>
      <c r="F115" s="42"/>
      <c r="G115" s="42">
        <v>0.73</v>
      </c>
      <c r="H115" s="42">
        <v>0.73</v>
      </c>
      <c r="I115" s="42">
        <f t="shared" ref="I115:I128" si="14">ROUND(H115*(1+$E$168),2)</f>
        <v>0.88</v>
      </c>
      <c r="J115" s="42">
        <f t="shared" ref="J115:J128" si="15">ROUND(F115*I115,2)</f>
        <v>0</v>
      </c>
      <c r="K115" s="24"/>
      <c r="L115" s="26"/>
      <c r="M115" s="449"/>
      <c r="N115" s="455"/>
      <c r="O115" s="455"/>
      <c r="P115" s="456"/>
      <c r="Q115" s="453"/>
    </row>
    <row r="116" spans="1:31" s="8" customFormat="1" ht="12" hidden="1" x14ac:dyDescent="0.2">
      <c r="A116" s="144" t="s">
        <v>63</v>
      </c>
      <c r="B116" s="39" t="s">
        <v>24</v>
      </c>
      <c r="C116" s="39">
        <v>6077</v>
      </c>
      <c r="D116" s="40" t="s">
        <v>179</v>
      </c>
      <c r="E116" s="41" t="s">
        <v>5</v>
      </c>
      <c r="F116" s="42"/>
      <c r="G116" s="42">
        <v>17.45</v>
      </c>
      <c r="H116" s="42">
        <v>17.45</v>
      </c>
      <c r="I116" s="42">
        <f t="shared" si="14"/>
        <v>21.11</v>
      </c>
      <c r="J116" s="42">
        <f t="shared" si="15"/>
        <v>0</v>
      </c>
      <c r="K116" s="24"/>
      <c r="L116" s="26"/>
      <c r="M116" s="449"/>
      <c r="N116" s="455"/>
      <c r="O116" s="455"/>
      <c r="P116" s="456"/>
      <c r="Q116" s="453"/>
    </row>
    <row r="117" spans="1:31" s="8" customFormat="1" ht="24" hidden="1" x14ac:dyDescent="0.2">
      <c r="A117" s="144" t="s">
        <v>64</v>
      </c>
      <c r="B117" s="39" t="s">
        <v>24</v>
      </c>
      <c r="C117" s="39">
        <v>41722</v>
      </c>
      <c r="D117" s="40" t="s">
        <v>75</v>
      </c>
      <c r="E117" s="41" t="s">
        <v>5</v>
      </c>
      <c r="F117" s="42"/>
      <c r="G117" s="42">
        <v>4.45</v>
      </c>
      <c r="H117" s="42">
        <v>4.45</v>
      </c>
      <c r="I117" s="42">
        <f t="shared" si="14"/>
        <v>5.38</v>
      </c>
      <c r="J117" s="42">
        <f t="shared" si="15"/>
        <v>0</v>
      </c>
      <c r="K117" s="24"/>
      <c r="L117" s="26"/>
      <c r="M117" s="449"/>
      <c r="N117" s="455"/>
      <c r="O117" s="455"/>
      <c r="P117" s="456"/>
      <c r="Q117" s="453"/>
    </row>
    <row r="118" spans="1:31" s="8" customFormat="1" ht="12" hidden="1" x14ac:dyDescent="0.2">
      <c r="A118" s="144" t="s">
        <v>65</v>
      </c>
      <c r="B118" s="39" t="s">
        <v>24</v>
      </c>
      <c r="C118" s="39" t="s">
        <v>0</v>
      </c>
      <c r="D118" s="40" t="s">
        <v>147</v>
      </c>
      <c r="E118" s="41" t="s">
        <v>5</v>
      </c>
      <c r="F118" s="42"/>
      <c r="G118" s="42">
        <v>114.33</v>
      </c>
      <c r="H118" s="42">
        <v>114.33</v>
      </c>
      <c r="I118" s="42">
        <f t="shared" si="14"/>
        <v>138.31</v>
      </c>
      <c r="J118" s="42">
        <f t="shared" si="15"/>
        <v>0</v>
      </c>
      <c r="K118" s="24"/>
      <c r="L118" s="26"/>
      <c r="M118" s="449"/>
      <c r="N118" s="455"/>
      <c r="O118" s="455"/>
      <c r="P118" s="456"/>
      <c r="Q118" s="453"/>
    </row>
    <row r="119" spans="1:31" s="8" customFormat="1" ht="12" x14ac:dyDescent="0.2">
      <c r="A119" s="38" t="s">
        <v>36</v>
      </c>
      <c r="B119" s="39" t="s">
        <v>23</v>
      </c>
      <c r="C119" s="39">
        <v>4011276</v>
      </c>
      <c r="D119" s="40" t="s">
        <v>148</v>
      </c>
      <c r="E119" s="41" t="s">
        <v>239</v>
      </c>
      <c r="F119" s="42">
        <f>ROUND((F121*0.16),2)</f>
        <v>286.47000000000003</v>
      </c>
      <c r="G119" s="42">
        <v>99.97</v>
      </c>
      <c r="H119" s="42">
        <v>97.1</v>
      </c>
      <c r="I119" s="42">
        <f t="shared" si="14"/>
        <v>117.46</v>
      </c>
      <c r="J119" s="42">
        <f t="shared" si="15"/>
        <v>33648.769999999997</v>
      </c>
      <c r="K119" s="24"/>
      <c r="L119" s="26"/>
      <c r="M119" s="449"/>
      <c r="N119" s="455"/>
      <c r="O119" s="455"/>
      <c r="P119" s="456"/>
      <c r="Q119" s="453"/>
    </row>
    <row r="120" spans="1:31" s="8" customFormat="1" ht="12" x14ac:dyDescent="0.2">
      <c r="A120" s="38" t="s">
        <v>37</v>
      </c>
      <c r="B120" s="39" t="s">
        <v>23</v>
      </c>
      <c r="C120" s="39">
        <v>4011282</v>
      </c>
      <c r="D120" s="81" t="s">
        <v>271</v>
      </c>
      <c r="E120" s="41" t="s">
        <v>239</v>
      </c>
      <c r="F120" s="42">
        <f>ROUND((F121*0.25),2)</f>
        <v>447.62</v>
      </c>
      <c r="G120" s="42"/>
      <c r="H120" s="42">
        <v>79.67</v>
      </c>
      <c r="I120" s="42">
        <f t="shared" si="14"/>
        <v>96.38</v>
      </c>
      <c r="J120" s="42">
        <f t="shared" si="15"/>
        <v>43141.62</v>
      </c>
      <c r="K120" s="24"/>
      <c r="L120" s="26"/>
      <c r="M120" s="449"/>
      <c r="N120" s="455"/>
      <c r="O120" s="455"/>
      <c r="P120" s="456"/>
      <c r="Q120" s="453"/>
    </row>
    <row r="121" spans="1:31" s="8" customFormat="1" ht="12" x14ac:dyDescent="0.2">
      <c r="A121" s="38" t="s">
        <v>41</v>
      </c>
      <c r="B121" s="39" t="s">
        <v>24</v>
      </c>
      <c r="C121" s="39">
        <v>96401</v>
      </c>
      <c r="D121" s="40" t="s">
        <v>149</v>
      </c>
      <c r="E121" s="41" t="s">
        <v>6</v>
      </c>
      <c r="F121" s="42">
        <f>14.56+144.38+1066.6+54.28+95.7+335.73+30.38+46.09+2.74</f>
        <v>1790.46</v>
      </c>
      <c r="G121" s="42">
        <v>4.8499999999999996</v>
      </c>
      <c r="H121" s="42">
        <v>4.12</v>
      </c>
      <c r="I121" s="42">
        <f t="shared" si="14"/>
        <v>4.9800000000000004</v>
      </c>
      <c r="J121" s="42">
        <f t="shared" si="15"/>
        <v>8916.49</v>
      </c>
      <c r="K121" s="24"/>
      <c r="L121" s="26"/>
      <c r="M121" s="449"/>
      <c r="N121" s="455"/>
      <c r="O121" s="455"/>
      <c r="P121" s="456"/>
      <c r="Q121" s="453"/>
    </row>
    <row r="122" spans="1:31" s="58" customFormat="1" ht="12" x14ac:dyDescent="0.2">
      <c r="A122" s="38" t="s">
        <v>42</v>
      </c>
      <c r="B122" s="39" t="s">
        <v>24</v>
      </c>
      <c r="C122" s="39">
        <v>72943</v>
      </c>
      <c r="D122" s="40" t="s">
        <v>150</v>
      </c>
      <c r="E122" s="41" t="s">
        <v>6</v>
      </c>
      <c r="F122" s="42">
        <f>F121*2</f>
        <v>3580.92</v>
      </c>
      <c r="G122" s="42">
        <v>1.39</v>
      </c>
      <c r="H122" s="42">
        <v>1.3</v>
      </c>
      <c r="I122" s="42">
        <f t="shared" si="14"/>
        <v>1.57</v>
      </c>
      <c r="J122" s="42">
        <f t="shared" si="15"/>
        <v>5622.04</v>
      </c>
      <c r="K122" s="24"/>
      <c r="L122" s="26"/>
      <c r="M122" s="449"/>
      <c r="N122" s="455"/>
      <c r="O122" s="455"/>
      <c r="P122" s="456"/>
      <c r="Q122" s="453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s="8" customFormat="1" ht="12" x14ac:dyDescent="0.2">
      <c r="A123" s="38" t="s">
        <v>44</v>
      </c>
      <c r="B123" s="39" t="s">
        <v>24</v>
      </c>
      <c r="C123" s="39">
        <v>95995</v>
      </c>
      <c r="D123" s="40" t="s">
        <v>151</v>
      </c>
      <c r="E123" s="41" t="s">
        <v>239</v>
      </c>
      <c r="F123" s="42">
        <f>ROUND((F121*0.1),2)</f>
        <v>179.05</v>
      </c>
      <c r="G123" s="42">
        <v>219.28</v>
      </c>
      <c r="H123" s="42">
        <v>690.21</v>
      </c>
      <c r="I123" s="42">
        <f t="shared" si="14"/>
        <v>834.95</v>
      </c>
      <c r="J123" s="42">
        <f t="shared" si="15"/>
        <v>149497.79999999999</v>
      </c>
      <c r="K123" s="24"/>
      <c r="L123" s="26"/>
      <c r="M123" s="449"/>
      <c r="N123" s="455"/>
      <c r="O123" s="455"/>
      <c r="P123" s="456"/>
      <c r="Q123" s="453"/>
    </row>
    <row r="124" spans="1:31" s="8" customFormat="1" ht="12" x14ac:dyDescent="0.2">
      <c r="A124" s="38" t="s">
        <v>50</v>
      </c>
      <c r="B124" s="39" t="s">
        <v>24</v>
      </c>
      <c r="C124" s="39">
        <v>72846</v>
      </c>
      <c r="D124" s="44" t="s">
        <v>152</v>
      </c>
      <c r="E124" s="41" t="s">
        <v>8</v>
      </c>
      <c r="F124" s="42">
        <f>ROUND((F123*2.425),2)</f>
        <v>434.2</v>
      </c>
      <c r="G124" s="42">
        <v>3.25</v>
      </c>
      <c r="H124" s="42">
        <v>3.5</v>
      </c>
      <c r="I124" s="42">
        <f t="shared" si="14"/>
        <v>4.2300000000000004</v>
      </c>
      <c r="J124" s="42">
        <f t="shared" si="15"/>
        <v>1836.67</v>
      </c>
      <c r="K124" s="24"/>
      <c r="L124" s="26"/>
      <c r="M124" s="449"/>
      <c r="N124" s="455"/>
      <c r="O124" s="455"/>
      <c r="P124" s="456"/>
      <c r="Q124" s="453"/>
    </row>
    <row r="125" spans="1:31" s="58" customFormat="1" ht="12" x14ac:dyDescent="0.2">
      <c r="A125" s="38" t="s">
        <v>52</v>
      </c>
      <c r="B125" s="39" t="s">
        <v>24</v>
      </c>
      <c r="C125" s="39">
        <v>72844</v>
      </c>
      <c r="D125" s="40" t="s">
        <v>175</v>
      </c>
      <c r="E125" s="41" t="s">
        <v>8</v>
      </c>
      <c r="F125" s="42">
        <f>(F119*2.4)+(F120*2.25)</f>
        <v>1694.673</v>
      </c>
      <c r="G125" s="42">
        <v>0.66</v>
      </c>
      <c r="H125" s="42">
        <v>0.7</v>
      </c>
      <c r="I125" s="42">
        <f t="shared" si="14"/>
        <v>0.85</v>
      </c>
      <c r="J125" s="42">
        <f t="shared" si="15"/>
        <v>1440.47</v>
      </c>
      <c r="K125" s="24"/>
      <c r="L125" s="26"/>
      <c r="M125" s="449"/>
      <c r="N125" s="455"/>
      <c r="O125" s="455"/>
      <c r="P125" s="456"/>
      <c r="Q125" s="45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s="58" customFormat="1" ht="12" x14ac:dyDescent="0.2">
      <c r="A126" s="38" t="s">
        <v>128</v>
      </c>
      <c r="B126" s="39" t="s">
        <v>23</v>
      </c>
      <c r="C126" s="39">
        <v>5914389</v>
      </c>
      <c r="D126" s="40" t="s">
        <v>145</v>
      </c>
      <c r="E126" s="41" t="s">
        <v>35</v>
      </c>
      <c r="F126" s="42">
        <f>ROUND((F125*9)+(F128*2.425*4),2)</f>
        <v>15613.09</v>
      </c>
      <c r="G126" s="42">
        <v>0.4</v>
      </c>
      <c r="H126" s="42">
        <v>0.47</v>
      </c>
      <c r="I126" s="42">
        <f t="shared" si="14"/>
        <v>0.56999999999999995</v>
      </c>
      <c r="J126" s="42">
        <f t="shared" si="15"/>
        <v>8899.4599999999991</v>
      </c>
      <c r="K126" s="24"/>
      <c r="L126" s="26"/>
      <c r="M126" s="449"/>
      <c r="N126" s="455"/>
      <c r="O126" s="455"/>
      <c r="P126" s="456"/>
      <c r="Q126" s="45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s="58" customFormat="1" ht="12" x14ac:dyDescent="0.2">
      <c r="A127" s="38" t="s">
        <v>129</v>
      </c>
      <c r="B127" s="39" t="s">
        <v>24</v>
      </c>
      <c r="C127" s="39">
        <v>93177</v>
      </c>
      <c r="D127" s="40" t="s">
        <v>153</v>
      </c>
      <c r="E127" s="41" t="s">
        <v>35</v>
      </c>
      <c r="F127" s="42">
        <f>F123*19</f>
        <v>3401.9500000000003</v>
      </c>
      <c r="G127" s="42">
        <v>211.73147450201117</v>
      </c>
      <c r="H127" s="42">
        <v>1.44</v>
      </c>
      <c r="I127" s="42">
        <f t="shared" si="14"/>
        <v>1.74</v>
      </c>
      <c r="J127" s="42">
        <f t="shared" si="15"/>
        <v>5919.39</v>
      </c>
      <c r="K127" s="24"/>
      <c r="L127" s="26"/>
      <c r="M127" s="449"/>
      <c r="N127" s="455"/>
      <c r="O127" s="455"/>
      <c r="P127" s="456"/>
      <c r="Q127" s="453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s="58" customFormat="1" ht="12" x14ac:dyDescent="0.2">
      <c r="A128" s="38" t="s">
        <v>131</v>
      </c>
      <c r="B128" s="39" t="s">
        <v>23</v>
      </c>
      <c r="C128" s="39">
        <v>4915667</v>
      </c>
      <c r="D128" s="40" t="s">
        <v>238</v>
      </c>
      <c r="E128" s="41" t="s">
        <v>239</v>
      </c>
      <c r="F128" s="45">
        <f>ROUND(((139+5.48+125.65+53.24+2.74+46.09)*0.1),2)</f>
        <v>37.22</v>
      </c>
      <c r="G128" s="45">
        <v>211.73147450201117</v>
      </c>
      <c r="H128" s="45">
        <v>10.19</v>
      </c>
      <c r="I128" s="45">
        <f t="shared" si="14"/>
        <v>12.33</v>
      </c>
      <c r="J128" s="45">
        <f t="shared" si="15"/>
        <v>458.92</v>
      </c>
      <c r="K128" s="65"/>
      <c r="L128" s="55"/>
      <c r="M128" s="454"/>
      <c r="N128" s="462"/>
      <c r="O128" s="462"/>
      <c r="P128" s="458"/>
      <c r="Q128" s="459"/>
    </row>
    <row r="129" spans="1:31" s="32" customFormat="1" ht="12" x14ac:dyDescent="0.2">
      <c r="A129" s="53"/>
      <c r="B129" s="28"/>
      <c r="C129" s="28"/>
      <c r="D129" s="29" t="s">
        <v>172</v>
      </c>
      <c r="E129" s="27"/>
      <c r="F129" s="30"/>
      <c r="G129" s="30"/>
      <c r="H129" s="30"/>
      <c r="I129" s="30"/>
      <c r="J129" s="31">
        <f>SUM(J115:J128)</f>
        <v>259381.63</v>
      </c>
      <c r="K129" s="159"/>
      <c r="L129" s="33"/>
      <c r="M129" s="463"/>
      <c r="N129" s="452"/>
      <c r="O129" s="452"/>
      <c r="P129" s="452"/>
      <c r="Q129" s="453"/>
      <c r="R129" s="26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s="8" customFormat="1" ht="12" x14ac:dyDescent="0.2">
      <c r="A130" s="53"/>
      <c r="B130" s="11"/>
      <c r="C130" s="11"/>
      <c r="D130" s="12"/>
      <c r="E130" s="13"/>
      <c r="F130" s="14"/>
      <c r="G130" s="14"/>
      <c r="H130" s="14"/>
      <c r="I130" s="14"/>
      <c r="J130" s="14"/>
      <c r="K130" s="24"/>
      <c r="L130" s="26"/>
      <c r="M130" s="464"/>
      <c r="N130" s="452"/>
      <c r="O130" s="452"/>
      <c r="P130" s="452"/>
      <c r="Q130" s="453"/>
    </row>
    <row r="131" spans="1:31" s="8" customFormat="1" ht="12" x14ac:dyDescent="0.2">
      <c r="A131" s="25">
        <v>4</v>
      </c>
      <c r="B131" s="5"/>
      <c r="C131" s="5"/>
      <c r="D131" s="6" t="s">
        <v>154</v>
      </c>
      <c r="E131" s="267"/>
      <c r="F131" s="7"/>
      <c r="G131" s="7"/>
      <c r="H131" s="7"/>
      <c r="I131" s="7"/>
      <c r="J131" s="7"/>
      <c r="K131" s="24"/>
      <c r="L131" s="26"/>
      <c r="M131" s="465"/>
      <c r="N131" s="452"/>
      <c r="O131" s="452"/>
      <c r="P131" s="452"/>
      <c r="Q131" s="453"/>
    </row>
    <row r="132" spans="1:31" s="8" customFormat="1" ht="12" x14ac:dyDescent="0.2">
      <c r="A132" s="53" t="s">
        <v>53</v>
      </c>
      <c r="B132" s="11"/>
      <c r="C132" s="11"/>
      <c r="D132" s="12" t="s">
        <v>130</v>
      </c>
      <c r="E132" s="13"/>
      <c r="F132" s="14"/>
      <c r="G132" s="14"/>
      <c r="H132" s="14"/>
      <c r="I132" s="14"/>
      <c r="J132" s="14"/>
      <c r="K132" s="24"/>
      <c r="L132" s="26"/>
      <c r="M132" s="464"/>
      <c r="N132" s="455"/>
      <c r="O132" s="455"/>
      <c r="P132" s="456"/>
      <c r="Q132" s="453"/>
    </row>
    <row r="133" spans="1:31" s="58" customFormat="1" ht="24" x14ac:dyDescent="0.2">
      <c r="A133" s="38" t="s">
        <v>230</v>
      </c>
      <c r="B133" s="39" t="s">
        <v>24</v>
      </c>
      <c r="C133" s="39">
        <v>94273</v>
      </c>
      <c r="D133" s="40" t="s">
        <v>177</v>
      </c>
      <c r="E133" s="41" t="s">
        <v>9</v>
      </c>
      <c r="F133" s="42">
        <v>402.06</v>
      </c>
      <c r="G133" s="42">
        <v>30.9</v>
      </c>
      <c r="H133" s="42">
        <v>33.1</v>
      </c>
      <c r="I133" s="42">
        <f>ROUND(H133*(1+$E$168),2)</f>
        <v>40.04</v>
      </c>
      <c r="J133" s="42">
        <f t="shared" ref="J133:J147" si="16">ROUND(F133*I133,2)</f>
        <v>16098.48</v>
      </c>
      <c r="K133" s="24"/>
      <c r="L133" s="26"/>
      <c r="M133" s="449"/>
      <c r="N133" s="455"/>
      <c r="O133" s="455"/>
      <c r="P133" s="456"/>
      <c r="Q133" s="45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s="58" customFormat="1" ht="24" x14ac:dyDescent="0.2">
      <c r="A134" s="38" t="s">
        <v>231</v>
      </c>
      <c r="B134" s="39"/>
      <c r="C134" s="39" t="s">
        <v>100</v>
      </c>
      <c r="D134" s="40" t="s">
        <v>272</v>
      </c>
      <c r="E134" s="41" t="s">
        <v>9</v>
      </c>
      <c r="F134" s="42">
        <f>1.62+34.7+40.48+27.82+53+49.38+30.56+40.12+16.03+3.28</f>
        <v>296.99</v>
      </c>
      <c r="G134" s="42">
        <v>30.9</v>
      </c>
      <c r="H134" s="42">
        <v>8.83</v>
      </c>
      <c r="I134" s="42">
        <f>ROUND(H134*(1+$E$168),2)</f>
        <v>10.68</v>
      </c>
      <c r="J134" s="42">
        <f t="shared" si="16"/>
        <v>3171.85</v>
      </c>
      <c r="K134" s="54"/>
      <c r="L134" s="55"/>
      <c r="M134" s="449"/>
      <c r="N134" s="457"/>
      <c r="O134" s="457"/>
      <c r="P134" s="458"/>
      <c r="Q134" s="459"/>
    </row>
    <row r="135" spans="1:31" s="8" customFormat="1" ht="12" x14ac:dyDescent="0.2">
      <c r="A135" s="53" t="s">
        <v>54</v>
      </c>
      <c r="B135" s="11"/>
      <c r="C135" s="11"/>
      <c r="D135" s="12" t="s">
        <v>78</v>
      </c>
      <c r="E135" s="13"/>
      <c r="F135" s="14"/>
      <c r="G135" s="14"/>
      <c r="H135" s="14"/>
      <c r="I135" s="80"/>
      <c r="J135" s="37"/>
      <c r="K135" s="24"/>
      <c r="L135" s="26"/>
      <c r="M135" s="464"/>
      <c r="N135" s="455"/>
      <c r="O135" s="455"/>
      <c r="P135" s="456"/>
      <c r="Q135" s="453"/>
    </row>
    <row r="136" spans="1:31" s="8" customFormat="1" ht="12" x14ac:dyDescent="0.2">
      <c r="A136" s="53" t="s">
        <v>232</v>
      </c>
      <c r="B136" s="11"/>
      <c r="C136" s="11"/>
      <c r="D136" s="12" t="s">
        <v>80</v>
      </c>
      <c r="E136" s="13"/>
      <c r="F136" s="14"/>
      <c r="G136" s="14"/>
      <c r="H136" s="14"/>
      <c r="I136" s="80"/>
      <c r="J136" s="37"/>
      <c r="K136" s="24"/>
      <c r="L136" s="26"/>
      <c r="M136" s="464"/>
      <c r="N136" s="455"/>
      <c r="O136" s="455"/>
      <c r="P136" s="456"/>
      <c r="Q136" s="453"/>
    </row>
    <row r="137" spans="1:31" s="8" customFormat="1" ht="12" x14ac:dyDescent="0.2">
      <c r="A137" s="38" t="s">
        <v>260</v>
      </c>
      <c r="B137" s="39" t="s">
        <v>23</v>
      </c>
      <c r="C137" s="39">
        <v>2003849</v>
      </c>
      <c r="D137" s="40" t="s">
        <v>213</v>
      </c>
      <c r="E137" s="41" t="s">
        <v>5</v>
      </c>
      <c r="F137" s="42">
        <f>(287.11+11.04+14.27+105.32+14.21+161.05)*0.05</f>
        <v>29.650000000000002</v>
      </c>
      <c r="G137" s="42">
        <v>91.67</v>
      </c>
      <c r="H137" s="42">
        <v>66.44</v>
      </c>
      <c r="I137" s="42">
        <f>ROUND(H137*(1+$E$168),2)</f>
        <v>80.37</v>
      </c>
      <c r="J137" s="42">
        <f t="shared" si="16"/>
        <v>2382.9699999999998</v>
      </c>
      <c r="K137" s="24"/>
      <c r="L137" s="26"/>
      <c r="M137" s="449"/>
      <c r="N137" s="455"/>
      <c r="O137" s="455"/>
      <c r="P137" s="456"/>
      <c r="Q137" s="453"/>
    </row>
    <row r="138" spans="1:31" s="8" customFormat="1" ht="12" x14ac:dyDescent="0.2">
      <c r="A138" s="38" t="s">
        <v>261</v>
      </c>
      <c r="B138" s="39" t="s">
        <v>24</v>
      </c>
      <c r="C138" s="39">
        <v>72844</v>
      </c>
      <c r="D138" s="40" t="s">
        <v>175</v>
      </c>
      <c r="E138" s="41" t="s">
        <v>8</v>
      </c>
      <c r="F138" s="42">
        <f>ROUND((F137*1.8),2)</f>
        <v>53.37</v>
      </c>
      <c r="G138" s="42">
        <v>0.66</v>
      </c>
      <c r="H138" s="42">
        <v>0.7</v>
      </c>
      <c r="I138" s="42">
        <f>ROUND(H138*(1+$E$168),2)</f>
        <v>0.85</v>
      </c>
      <c r="J138" s="42">
        <f t="shared" si="16"/>
        <v>45.36</v>
      </c>
      <c r="K138" s="24"/>
      <c r="L138" s="26"/>
      <c r="M138" s="449"/>
      <c r="N138" s="455"/>
      <c r="O138" s="455"/>
      <c r="P138" s="456"/>
      <c r="Q138" s="453"/>
    </row>
    <row r="139" spans="1:31" s="58" customFormat="1" ht="12" x14ac:dyDescent="0.2">
      <c r="A139" s="38" t="s">
        <v>262</v>
      </c>
      <c r="B139" s="39" t="s">
        <v>23</v>
      </c>
      <c r="C139" s="39">
        <v>5914389</v>
      </c>
      <c r="D139" s="40" t="s">
        <v>145</v>
      </c>
      <c r="E139" s="41" t="s">
        <v>35</v>
      </c>
      <c r="F139" s="42">
        <f>ROUND((F138*9),2)</f>
        <v>480.33</v>
      </c>
      <c r="G139" s="42">
        <v>0.4</v>
      </c>
      <c r="H139" s="42">
        <v>0.47</v>
      </c>
      <c r="I139" s="42">
        <f>ROUND(H139*(1+$E$168),2)</f>
        <v>0.56999999999999995</v>
      </c>
      <c r="J139" s="42">
        <f t="shared" si="16"/>
        <v>273.79000000000002</v>
      </c>
      <c r="K139" s="24"/>
      <c r="L139" s="26"/>
      <c r="M139" s="449"/>
      <c r="N139" s="455"/>
      <c r="O139" s="455"/>
      <c r="P139" s="456"/>
      <c r="Q139" s="453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s="8" customFormat="1" ht="12" x14ac:dyDescent="0.2">
      <c r="A140" s="53" t="s">
        <v>233</v>
      </c>
      <c r="B140" s="60"/>
      <c r="C140" s="60"/>
      <c r="D140" s="61" t="s">
        <v>235</v>
      </c>
      <c r="E140" s="62"/>
      <c r="F140" s="63"/>
      <c r="G140" s="63">
        <v>46.09</v>
      </c>
      <c r="H140" s="63"/>
      <c r="I140" s="63"/>
      <c r="J140" s="63"/>
      <c r="K140" s="24"/>
      <c r="L140" s="26"/>
      <c r="M140" s="448"/>
      <c r="N140" s="455"/>
      <c r="O140" s="455"/>
      <c r="P140" s="456"/>
      <c r="Q140" s="453"/>
    </row>
    <row r="141" spans="1:31" s="58" customFormat="1" ht="12" x14ac:dyDescent="0.2">
      <c r="A141" s="38" t="s">
        <v>263</v>
      </c>
      <c r="B141" s="39" t="s">
        <v>24</v>
      </c>
      <c r="C141" s="39">
        <v>94994</v>
      </c>
      <c r="D141" s="44" t="s">
        <v>273</v>
      </c>
      <c r="E141" s="41" t="s">
        <v>6</v>
      </c>
      <c r="F141" s="42">
        <f>161.05+287.11+105.32+28.97+14.21+11.04</f>
        <v>607.70000000000005</v>
      </c>
      <c r="G141" s="42">
        <v>46.09</v>
      </c>
      <c r="H141" s="42">
        <v>67.13</v>
      </c>
      <c r="I141" s="42">
        <f t="shared" ref="I141" si="17">ROUND(H141*(1+$E$168),2)</f>
        <v>81.209999999999994</v>
      </c>
      <c r="J141" s="42">
        <f t="shared" ref="J141" si="18">ROUND(F141*I141,2)</f>
        <v>49351.32</v>
      </c>
      <c r="K141" s="24"/>
      <c r="L141" s="26"/>
      <c r="M141" s="449"/>
      <c r="N141" s="455"/>
      <c r="O141" s="455"/>
      <c r="P141" s="456"/>
      <c r="Q141" s="453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s="58" customFormat="1" ht="24" x14ac:dyDescent="0.2">
      <c r="A142" s="38" t="s">
        <v>264</v>
      </c>
      <c r="B142" s="39"/>
      <c r="C142" s="39" t="s">
        <v>100</v>
      </c>
      <c r="D142" s="40" t="s">
        <v>155</v>
      </c>
      <c r="E142" s="41" t="s">
        <v>6</v>
      </c>
      <c r="F142" s="42">
        <f>33.9+18.94+13.28</f>
        <v>66.12</v>
      </c>
      <c r="G142" s="42">
        <v>55.75</v>
      </c>
      <c r="H142" s="42">
        <f>COMP!E91</f>
        <v>51.944099999999999</v>
      </c>
      <c r="I142" s="42">
        <f>ROUND(H142*(1+$E$168),2)</f>
        <v>62.84</v>
      </c>
      <c r="J142" s="42">
        <f t="shared" si="16"/>
        <v>4154.9799999999996</v>
      </c>
      <c r="K142" s="54"/>
      <c r="L142" s="55"/>
      <c r="M142" s="449"/>
      <c r="N142" s="457"/>
      <c r="O142" s="457"/>
      <c r="P142" s="458"/>
      <c r="Q142" s="459"/>
    </row>
    <row r="143" spans="1:31" s="58" customFormat="1" ht="12.75" customHeight="1" x14ac:dyDescent="0.2">
      <c r="A143" s="38" t="s">
        <v>55</v>
      </c>
      <c r="B143" s="39"/>
      <c r="C143" s="39" t="s">
        <v>100</v>
      </c>
      <c r="D143" s="40" t="s">
        <v>236</v>
      </c>
      <c r="E143" s="41" t="s">
        <v>9</v>
      </c>
      <c r="F143" s="42">
        <f>4*20.42</f>
        <v>81.680000000000007</v>
      </c>
      <c r="G143" s="42">
        <v>10.56</v>
      </c>
      <c r="H143" s="42">
        <v>222.99</v>
      </c>
      <c r="I143" s="42">
        <f t="shared" ref="I143:I144" si="19">ROUND(H143*(1+$E$168),2)</f>
        <v>269.75</v>
      </c>
      <c r="J143" s="42">
        <f t="shared" ref="J143" si="20">ROUND(F143*I143,2)</f>
        <v>22033.18</v>
      </c>
      <c r="K143" s="54"/>
      <c r="L143" s="55"/>
      <c r="M143" s="449"/>
      <c r="N143" s="457"/>
      <c r="O143" s="457"/>
      <c r="P143" s="458"/>
      <c r="Q143" s="459"/>
    </row>
    <row r="144" spans="1:31" s="58" customFormat="1" ht="12" x14ac:dyDescent="0.2">
      <c r="A144" s="38" t="s">
        <v>56</v>
      </c>
      <c r="B144" s="39" t="s">
        <v>24</v>
      </c>
      <c r="C144" s="39">
        <v>85180</v>
      </c>
      <c r="D144" s="40" t="s">
        <v>156</v>
      </c>
      <c r="E144" s="41" t="s">
        <v>6</v>
      </c>
      <c r="F144" s="42">
        <v>1062.46</v>
      </c>
      <c r="G144" s="42">
        <v>10.56</v>
      </c>
      <c r="H144" s="42">
        <v>14.14</v>
      </c>
      <c r="I144" s="42">
        <f t="shared" si="19"/>
        <v>17.11</v>
      </c>
      <c r="J144" s="42">
        <f>ROUND(F144*I144,2)</f>
        <v>18178.689999999999</v>
      </c>
      <c r="K144" s="24"/>
      <c r="L144" s="26"/>
      <c r="M144" s="449"/>
      <c r="N144" s="455"/>
      <c r="O144" s="455"/>
      <c r="P144" s="456"/>
      <c r="Q144" s="453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s="8" customFormat="1" ht="12" hidden="1" x14ac:dyDescent="0.2">
      <c r="A145" s="38" t="s">
        <v>228</v>
      </c>
      <c r="B145" s="11" t="s">
        <v>24</v>
      </c>
      <c r="C145" s="11">
        <v>84862</v>
      </c>
      <c r="D145" s="12" t="s">
        <v>157</v>
      </c>
      <c r="E145" s="13" t="s">
        <v>9</v>
      </c>
      <c r="F145" s="14"/>
      <c r="G145" s="14"/>
      <c r="H145" s="14"/>
      <c r="I145" s="80"/>
      <c r="J145" s="37"/>
      <c r="K145" s="24"/>
      <c r="L145" s="26"/>
      <c r="M145" s="464"/>
      <c r="N145" s="455"/>
      <c r="O145" s="455"/>
      <c r="P145" s="456"/>
      <c r="Q145" s="453"/>
    </row>
    <row r="146" spans="1:31" s="8" customFormat="1" ht="12" hidden="1" x14ac:dyDescent="0.2">
      <c r="A146" s="38" t="s">
        <v>229</v>
      </c>
      <c r="B146" s="11"/>
      <c r="C146" s="11" t="s">
        <v>100</v>
      </c>
      <c r="D146" s="12" t="s">
        <v>158</v>
      </c>
      <c r="E146" s="13" t="s">
        <v>9</v>
      </c>
      <c r="F146" s="14"/>
      <c r="G146" s="14"/>
      <c r="H146" s="14"/>
      <c r="I146" s="80"/>
      <c r="J146" s="37"/>
      <c r="K146" s="24"/>
      <c r="L146" s="26"/>
      <c r="M146" s="464"/>
      <c r="N146" s="455"/>
      <c r="O146" s="455"/>
      <c r="P146" s="456"/>
      <c r="Q146" s="453"/>
    </row>
    <row r="147" spans="1:31" s="8" customFormat="1" ht="12" x14ac:dyDescent="0.2">
      <c r="A147" s="38" t="s">
        <v>57</v>
      </c>
      <c r="B147" s="39" t="s">
        <v>24</v>
      </c>
      <c r="C147" s="39" t="s">
        <v>478</v>
      </c>
      <c r="D147" s="40" t="s">
        <v>159</v>
      </c>
      <c r="E147" s="41" t="s">
        <v>6</v>
      </c>
      <c r="F147" s="42">
        <f>F58</f>
        <v>4744.1413279999997</v>
      </c>
      <c r="G147" s="42">
        <v>2.19</v>
      </c>
      <c r="H147" s="42">
        <v>1.66</v>
      </c>
      <c r="I147" s="42">
        <f>ROUND(H147*(1+$E$168),2)</f>
        <v>2.0099999999999998</v>
      </c>
      <c r="J147" s="42">
        <f t="shared" si="16"/>
        <v>9535.7199999999993</v>
      </c>
      <c r="K147" s="24"/>
      <c r="L147" s="26"/>
      <c r="M147" s="449"/>
      <c r="N147" s="455"/>
      <c r="O147" s="455"/>
      <c r="P147" s="456"/>
      <c r="Q147" s="453"/>
    </row>
    <row r="148" spans="1:31" s="32" customFormat="1" ht="12" x14ac:dyDescent="0.2">
      <c r="A148" s="53"/>
      <c r="B148" s="28"/>
      <c r="C148" s="28"/>
      <c r="D148" s="29" t="s">
        <v>172</v>
      </c>
      <c r="E148" s="27"/>
      <c r="F148" s="30"/>
      <c r="G148" s="30"/>
      <c r="H148" s="30"/>
      <c r="I148" s="30"/>
      <c r="J148" s="31">
        <f>SUM(J133:J147)</f>
        <v>125226.34</v>
      </c>
      <c r="K148" s="159"/>
      <c r="L148" s="33"/>
      <c r="M148" s="463"/>
      <c r="N148" s="452"/>
      <c r="O148" s="452"/>
      <c r="P148" s="452"/>
      <c r="Q148" s="453"/>
      <c r="R148" s="26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s="8" customFormat="1" ht="12" x14ac:dyDescent="0.2">
      <c r="A149" s="53"/>
      <c r="B149" s="11"/>
      <c r="C149" s="11"/>
      <c r="D149" s="12"/>
      <c r="E149" s="13"/>
      <c r="F149" s="14"/>
      <c r="G149" s="14"/>
      <c r="H149" s="14"/>
      <c r="I149" s="14"/>
      <c r="J149" s="14"/>
      <c r="K149" s="24"/>
      <c r="L149" s="26"/>
      <c r="M149" s="464"/>
      <c r="N149" s="452"/>
      <c r="O149" s="452"/>
      <c r="P149" s="452"/>
      <c r="Q149" s="453"/>
    </row>
    <row r="150" spans="1:31" s="8" customFormat="1" ht="12" x14ac:dyDescent="0.2">
      <c r="A150" s="25">
        <v>5</v>
      </c>
      <c r="B150" s="5"/>
      <c r="C150" s="5"/>
      <c r="D150" s="6" t="s">
        <v>160</v>
      </c>
      <c r="E150" s="267"/>
      <c r="F150" s="7"/>
      <c r="G150" s="7"/>
      <c r="H150" s="7"/>
      <c r="I150" s="7"/>
      <c r="J150" s="7"/>
      <c r="K150" s="24"/>
      <c r="L150" s="26"/>
      <c r="M150" s="465"/>
      <c r="N150" s="452"/>
      <c r="O150" s="452"/>
      <c r="P150" s="452"/>
      <c r="Q150" s="453"/>
    </row>
    <row r="151" spans="1:31" s="8" customFormat="1" ht="12" x14ac:dyDescent="0.2">
      <c r="A151" s="53" t="s">
        <v>62</v>
      </c>
      <c r="B151" s="11"/>
      <c r="C151" s="11"/>
      <c r="D151" s="12" t="s">
        <v>85</v>
      </c>
      <c r="E151" s="13"/>
      <c r="F151" s="14"/>
      <c r="G151" s="14"/>
      <c r="H151" s="14"/>
      <c r="I151" s="14"/>
      <c r="J151" s="14"/>
      <c r="K151" s="24"/>
      <c r="L151" s="26"/>
      <c r="M151" s="464"/>
      <c r="N151" s="455"/>
      <c r="O151" s="455"/>
      <c r="P151" s="456"/>
      <c r="Q151" s="453"/>
    </row>
    <row r="152" spans="1:31" s="8" customFormat="1" ht="24" x14ac:dyDescent="0.2">
      <c r="A152" s="38" t="s">
        <v>265</v>
      </c>
      <c r="B152" s="39" t="s">
        <v>24</v>
      </c>
      <c r="C152" s="39">
        <v>72947</v>
      </c>
      <c r="D152" s="40" t="s">
        <v>161</v>
      </c>
      <c r="E152" s="41" t="s">
        <v>6</v>
      </c>
      <c r="F152" s="42">
        <v>114.05</v>
      </c>
      <c r="G152" s="42">
        <v>21.21</v>
      </c>
      <c r="H152" s="42">
        <v>20.329999999999998</v>
      </c>
      <c r="I152" s="42">
        <f>ROUND(H152*(1+$E$168),2)</f>
        <v>24.59</v>
      </c>
      <c r="J152" s="42">
        <f t="shared" ref="J152:J163" si="21">ROUND(F152*I152,2)</f>
        <v>2804.49</v>
      </c>
      <c r="K152" s="24"/>
      <c r="L152" s="26"/>
      <c r="M152" s="449"/>
      <c r="N152" s="455"/>
      <c r="O152" s="455"/>
      <c r="P152" s="456"/>
      <c r="Q152" s="453"/>
    </row>
    <row r="153" spans="1:31" s="58" customFormat="1" ht="12" x14ac:dyDescent="0.2">
      <c r="A153" s="38" t="s">
        <v>266</v>
      </c>
      <c r="B153" s="39" t="s">
        <v>23</v>
      </c>
      <c r="C153" s="39">
        <v>5214003</v>
      </c>
      <c r="D153" s="40" t="s">
        <v>162</v>
      </c>
      <c r="E153" s="41" t="s">
        <v>6</v>
      </c>
      <c r="F153" s="42">
        <f>0.51+1.23+0.21+65.6+7.2</f>
        <v>74.75</v>
      </c>
      <c r="G153" s="42">
        <v>46.1</v>
      </c>
      <c r="H153" s="45">
        <v>42.12</v>
      </c>
      <c r="I153" s="42">
        <f>ROUND(H153*(1+$E$168),2)</f>
        <v>50.95</v>
      </c>
      <c r="J153" s="42">
        <f t="shared" si="21"/>
        <v>3808.51</v>
      </c>
      <c r="K153" s="24"/>
      <c r="L153" s="26"/>
      <c r="M153" s="449"/>
      <c r="N153" s="455"/>
      <c r="O153" s="455"/>
      <c r="P153" s="456"/>
      <c r="Q153" s="453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s="8" customFormat="1" ht="12" hidden="1" x14ac:dyDescent="0.2">
      <c r="A154" s="38" t="s">
        <v>267</v>
      </c>
      <c r="B154" s="11" t="s">
        <v>23</v>
      </c>
      <c r="C154" s="11" t="s">
        <v>21</v>
      </c>
      <c r="D154" s="12" t="s">
        <v>163</v>
      </c>
      <c r="E154" s="13" t="s">
        <v>7</v>
      </c>
      <c r="F154" s="14"/>
      <c r="G154" s="14"/>
      <c r="H154" s="45" t="e">
        <f>ROUND(G154*(1+#REF!),2)</f>
        <v>#REF!</v>
      </c>
      <c r="I154" s="80"/>
      <c r="J154" s="37"/>
      <c r="K154" s="24"/>
      <c r="L154" s="26"/>
      <c r="M154" s="464"/>
      <c r="N154" s="455"/>
      <c r="O154" s="455"/>
      <c r="P154" s="456"/>
      <c r="Q154" s="453"/>
    </row>
    <row r="155" spans="1:31" s="58" customFormat="1" ht="12" x14ac:dyDescent="0.2">
      <c r="A155" s="38" t="s">
        <v>267</v>
      </c>
      <c r="B155" s="39" t="s">
        <v>23</v>
      </c>
      <c r="C155" s="39">
        <v>5213362</v>
      </c>
      <c r="D155" s="40" t="s">
        <v>86</v>
      </c>
      <c r="E155" s="41" t="s">
        <v>7</v>
      </c>
      <c r="F155" s="42">
        <v>85</v>
      </c>
      <c r="G155" s="42">
        <v>43.38</v>
      </c>
      <c r="H155" s="42">
        <v>39.01</v>
      </c>
      <c r="I155" s="42">
        <f>ROUND(H155*(1+$E$168),2)</f>
        <v>47.19</v>
      </c>
      <c r="J155" s="42">
        <f t="shared" si="21"/>
        <v>4011.15</v>
      </c>
      <c r="K155" s="24"/>
      <c r="L155" s="26"/>
      <c r="M155" s="449"/>
      <c r="N155" s="455"/>
      <c r="O155" s="455"/>
      <c r="P155" s="456"/>
      <c r="Q155" s="453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s="8" customFormat="1" ht="12" x14ac:dyDescent="0.2">
      <c r="A156" s="53" t="s">
        <v>63</v>
      </c>
      <c r="B156" s="11"/>
      <c r="C156" s="11"/>
      <c r="D156" s="12" t="s">
        <v>82</v>
      </c>
      <c r="E156" s="13"/>
      <c r="F156" s="14"/>
      <c r="G156" s="14"/>
      <c r="H156" s="14"/>
      <c r="I156" s="80"/>
      <c r="J156" s="37"/>
      <c r="K156" s="24"/>
      <c r="L156" s="26"/>
      <c r="M156" s="464"/>
      <c r="N156" s="455"/>
      <c r="O156" s="455"/>
      <c r="P156" s="456"/>
      <c r="Q156" s="453"/>
    </row>
    <row r="157" spans="1:31" s="8" customFormat="1" ht="26.25" customHeight="1" x14ac:dyDescent="0.2">
      <c r="A157" s="38" t="s">
        <v>268</v>
      </c>
      <c r="B157" s="39" t="s">
        <v>23</v>
      </c>
      <c r="C157" s="39">
        <v>5213863</v>
      </c>
      <c r="D157" s="40" t="s">
        <v>361</v>
      </c>
      <c r="E157" s="41" t="s">
        <v>7</v>
      </c>
      <c r="F157" s="42">
        <v>7</v>
      </c>
      <c r="G157" s="42">
        <v>117.36</v>
      </c>
      <c r="H157" s="45">
        <v>272.91000000000003</v>
      </c>
      <c r="I157" s="42">
        <f t="shared" ref="I157:I163" si="22">ROUND(H157*(1+$E$168),2)</f>
        <v>330.14</v>
      </c>
      <c r="J157" s="42">
        <f t="shared" si="21"/>
        <v>2310.98</v>
      </c>
      <c r="K157" s="24"/>
      <c r="L157" s="26"/>
      <c r="M157" s="449"/>
      <c r="N157" s="455"/>
      <c r="O157" s="455"/>
      <c r="P157" s="456"/>
      <c r="Q157" s="453"/>
    </row>
    <row r="158" spans="1:31" s="8" customFormat="1" ht="24" customHeight="1" x14ac:dyDescent="0.2">
      <c r="A158" s="38" t="s">
        <v>269</v>
      </c>
      <c r="B158" s="39" t="s">
        <v>23</v>
      </c>
      <c r="C158" s="39">
        <v>5213851</v>
      </c>
      <c r="D158" s="40" t="s">
        <v>362</v>
      </c>
      <c r="E158" s="41" t="s">
        <v>7</v>
      </c>
      <c r="F158" s="42">
        <v>11</v>
      </c>
      <c r="G158" s="42">
        <v>117.36</v>
      </c>
      <c r="H158" s="45">
        <v>216.43</v>
      </c>
      <c r="I158" s="42">
        <f t="shared" si="22"/>
        <v>261.82</v>
      </c>
      <c r="J158" s="42">
        <f t="shared" ref="J158:J159" si="23">ROUND(F158*I158,2)</f>
        <v>2880.02</v>
      </c>
      <c r="K158" s="24"/>
      <c r="L158" s="26"/>
      <c r="M158" s="449"/>
      <c r="N158" s="455"/>
      <c r="O158" s="455"/>
      <c r="P158" s="456"/>
      <c r="Q158" s="453"/>
    </row>
    <row r="159" spans="1:31" s="142" customFormat="1" ht="24" x14ac:dyDescent="0.2">
      <c r="A159" s="38" t="s">
        <v>270</v>
      </c>
      <c r="B159" s="39" t="s">
        <v>23</v>
      </c>
      <c r="C159" s="39">
        <v>5213464</v>
      </c>
      <c r="D159" s="40" t="s">
        <v>363</v>
      </c>
      <c r="E159" s="41" t="s">
        <v>7</v>
      </c>
      <c r="F159" s="42">
        <v>7</v>
      </c>
      <c r="G159" s="42">
        <v>243.03</v>
      </c>
      <c r="H159" s="42">
        <v>260.95</v>
      </c>
      <c r="I159" s="42">
        <f t="shared" si="22"/>
        <v>315.67</v>
      </c>
      <c r="J159" s="42">
        <f t="shared" si="23"/>
        <v>2209.69</v>
      </c>
      <c r="K159" s="24"/>
      <c r="L159" s="26"/>
      <c r="M159" s="449"/>
      <c r="N159" s="455"/>
      <c r="O159" s="455"/>
      <c r="P159" s="456"/>
      <c r="Q159" s="453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s="142" customFormat="1" ht="24" x14ac:dyDescent="0.2">
      <c r="A160" s="38" t="s">
        <v>366</v>
      </c>
      <c r="B160" s="39" t="s">
        <v>23</v>
      </c>
      <c r="C160" s="39">
        <v>5213440</v>
      </c>
      <c r="D160" s="40" t="s">
        <v>364</v>
      </c>
      <c r="E160" s="41" t="s">
        <v>7</v>
      </c>
      <c r="F160" s="42">
        <v>11</v>
      </c>
      <c r="G160" s="42">
        <v>243.03</v>
      </c>
      <c r="H160" s="42">
        <v>211.25</v>
      </c>
      <c r="I160" s="42">
        <f t="shared" si="22"/>
        <v>255.55</v>
      </c>
      <c r="J160" s="42">
        <f t="shared" si="21"/>
        <v>2811.05</v>
      </c>
      <c r="K160" s="24"/>
      <c r="L160" s="26"/>
      <c r="M160" s="449"/>
      <c r="N160" s="455"/>
      <c r="O160" s="455"/>
      <c r="P160" s="456"/>
      <c r="Q160" s="453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9" s="142" customFormat="1" ht="24" x14ac:dyDescent="0.2">
      <c r="A161" s="38" t="s">
        <v>367</v>
      </c>
      <c r="B161" s="39" t="s">
        <v>23</v>
      </c>
      <c r="C161" s="39">
        <v>5213562</v>
      </c>
      <c r="D161" s="40" t="s">
        <v>365</v>
      </c>
      <c r="E161" s="41" t="s">
        <v>7</v>
      </c>
      <c r="F161" s="42">
        <v>2</v>
      </c>
      <c r="G161" s="42">
        <v>243.03</v>
      </c>
      <c r="H161" s="42">
        <v>1869.61</v>
      </c>
      <c r="I161" s="42">
        <f t="shared" si="22"/>
        <v>2261.67</v>
      </c>
      <c r="J161" s="42">
        <f t="shared" ref="J161" si="24">ROUND(F161*I161,2)</f>
        <v>4523.34</v>
      </c>
      <c r="K161" s="24"/>
      <c r="L161" s="26"/>
      <c r="M161" s="449"/>
      <c r="N161" s="455"/>
      <c r="O161" s="455"/>
      <c r="P161" s="456"/>
      <c r="Q161" s="453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:39" s="58" customFormat="1" ht="12" x14ac:dyDescent="0.2">
      <c r="A162" s="38" t="s">
        <v>368</v>
      </c>
      <c r="B162" s="39"/>
      <c r="C162" s="39" t="s">
        <v>100</v>
      </c>
      <c r="D162" s="40" t="s">
        <v>375</v>
      </c>
      <c r="E162" s="41" t="s">
        <v>7</v>
      </c>
      <c r="F162" s="42">
        <v>2</v>
      </c>
      <c r="G162" s="42">
        <v>243.03</v>
      </c>
      <c r="H162" s="42">
        <f>COMP!E70</f>
        <v>749.60171720430094</v>
      </c>
      <c r="I162" s="42">
        <f t="shared" si="22"/>
        <v>906.79</v>
      </c>
      <c r="J162" s="42">
        <f t="shared" ref="J162" si="25">ROUND(F162*I162,2)</f>
        <v>1813.58</v>
      </c>
      <c r="K162" s="54"/>
      <c r="L162" s="55"/>
      <c r="M162" s="449"/>
      <c r="N162" s="457"/>
      <c r="O162" s="457"/>
      <c r="P162" s="458"/>
      <c r="Q162" s="459"/>
    </row>
    <row r="163" spans="1:39" s="8" customFormat="1" ht="24" x14ac:dyDescent="0.2">
      <c r="A163" s="38" t="s">
        <v>369</v>
      </c>
      <c r="B163" s="39" t="s">
        <v>23</v>
      </c>
      <c r="C163" s="39">
        <v>5213628</v>
      </c>
      <c r="D163" s="40" t="s">
        <v>84</v>
      </c>
      <c r="E163" s="41" t="s">
        <v>7</v>
      </c>
      <c r="F163" s="42">
        <v>2</v>
      </c>
      <c r="G163" s="42">
        <v>10500</v>
      </c>
      <c r="H163" s="42">
        <v>17569.63</v>
      </c>
      <c r="I163" s="42">
        <f t="shared" si="22"/>
        <v>21253.98</v>
      </c>
      <c r="J163" s="42">
        <f t="shared" si="21"/>
        <v>42507.96</v>
      </c>
      <c r="K163" s="24"/>
      <c r="L163" s="165"/>
      <c r="M163" s="449"/>
      <c r="N163" s="455"/>
      <c r="O163" s="455"/>
      <c r="P163" s="456"/>
      <c r="Q163" s="453"/>
    </row>
    <row r="164" spans="1:39" s="8" customFormat="1" ht="12" hidden="1" x14ac:dyDescent="0.2">
      <c r="A164" s="10" t="s">
        <v>77</v>
      </c>
      <c r="B164" s="11"/>
      <c r="C164" s="11"/>
      <c r="D164" s="12" t="s">
        <v>165</v>
      </c>
      <c r="E164" s="13"/>
      <c r="F164" s="14"/>
      <c r="G164" s="14"/>
      <c r="H164" s="14"/>
      <c r="I164" s="80"/>
      <c r="J164" s="37"/>
      <c r="K164" s="24"/>
      <c r="L164" s="26"/>
      <c r="M164" s="466"/>
      <c r="N164" s="455"/>
      <c r="O164" s="455"/>
      <c r="P164" s="456"/>
      <c r="Q164" s="453"/>
    </row>
    <row r="165" spans="1:39" s="8" customFormat="1" ht="12" hidden="1" x14ac:dyDescent="0.2">
      <c r="A165" s="10" t="s">
        <v>79</v>
      </c>
      <c r="B165" s="11" t="s">
        <v>23</v>
      </c>
      <c r="C165" s="11" t="s">
        <v>19</v>
      </c>
      <c r="D165" s="12" t="s">
        <v>166</v>
      </c>
      <c r="E165" s="13" t="s">
        <v>9</v>
      </c>
      <c r="F165" s="14"/>
      <c r="G165" s="14"/>
      <c r="H165" s="14"/>
      <c r="I165" s="80"/>
      <c r="J165" s="37"/>
      <c r="K165" s="24"/>
      <c r="L165" s="26"/>
      <c r="M165" s="466"/>
      <c r="N165" s="455"/>
      <c r="O165" s="455"/>
      <c r="P165" s="456"/>
      <c r="Q165" s="453"/>
    </row>
    <row r="166" spans="1:39" s="8" customFormat="1" ht="12" hidden="1" x14ac:dyDescent="0.2">
      <c r="A166" s="10" t="s">
        <v>81</v>
      </c>
      <c r="B166" s="11" t="s">
        <v>23</v>
      </c>
      <c r="C166" s="11" t="s">
        <v>20</v>
      </c>
      <c r="D166" s="12" t="s">
        <v>167</v>
      </c>
      <c r="E166" s="13" t="s">
        <v>9</v>
      </c>
      <c r="F166" s="14"/>
      <c r="G166" s="14"/>
      <c r="H166" s="14"/>
      <c r="I166" s="80"/>
      <c r="J166" s="37"/>
      <c r="K166" s="24"/>
      <c r="L166" s="26"/>
      <c r="M166" s="466"/>
      <c r="N166" s="455"/>
      <c r="O166" s="455"/>
      <c r="P166" s="456"/>
      <c r="Q166" s="453"/>
    </row>
    <row r="167" spans="1:39" s="32" customFormat="1" ht="12" x14ac:dyDescent="0.2">
      <c r="A167" s="27"/>
      <c r="B167" s="28"/>
      <c r="C167" s="28"/>
      <c r="D167" s="29" t="s">
        <v>172</v>
      </c>
      <c r="E167" s="27"/>
      <c r="F167" s="30"/>
      <c r="G167" s="30"/>
      <c r="H167" s="30"/>
      <c r="I167" s="30"/>
      <c r="J167" s="31">
        <f>SUM(J152:J166)</f>
        <v>69680.76999999999</v>
      </c>
      <c r="K167" s="159"/>
      <c r="L167" s="33"/>
      <c r="M167" s="466"/>
      <c r="N167" s="452"/>
      <c r="O167" s="452"/>
      <c r="P167" s="452"/>
      <c r="Q167" s="453"/>
      <c r="R167" s="26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9" ht="15.75" x14ac:dyDescent="0.25">
      <c r="A168" s="82"/>
      <c r="B168" s="109"/>
      <c r="C168" s="109"/>
      <c r="D168" s="269" t="s">
        <v>173</v>
      </c>
      <c r="E168" s="344">
        <v>0.2097</v>
      </c>
      <c r="F168" s="344"/>
      <c r="G168" s="270"/>
      <c r="H168" s="270"/>
      <c r="I168" s="345">
        <f>SUM(J167+J148+J129+J112+J59)</f>
        <v>722797.86</v>
      </c>
      <c r="J168" s="345"/>
      <c r="K168" s="162"/>
      <c r="M168" s="466"/>
      <c r="N168" s="467"/>
      <c r="O168" s="467"/>
      <c r="P168" s="467"/>
      <c r="Q168" s="467"/>
    </row>
    <row r="169" spans="1:39" ht="23.25" hidden="1" x14ac:dyDescent="0.2">
      <c r="A169" s="346" t="s">
        <v>88</v>
      </c>
      <c r="B169" s="347"/>
      <c r="C169" s="347"/>
      <c r="D169" s="347"/>
      <c r="E169" s="347"/>
      <c r="F169" s="347"/>
      <c r="G169" s="347"/>
      <c r="H169" s="347"/>
      <c r="I169" s="347"/>
      <c r="J169" s="347"/>
      <c r="M169" s="467"/>
      <c r="N169" s="467"/>
      <c r="O169" s="467"/>
      <c r="P169" s="467"/>
      <c r="Q169" s="467"/>
    </row>
    <row r="170" spans="1:39" ht="18" hidden="1" x14ac:dyDescent="0.2">
      <c r="A170" s="348" t="s">
        <v>89</v>
      </c>
      <c r="B170" s="348"/>
      <c r="C170" s="348"/>
      <c r="D170" s="348"/>
      <c r="E170" s="348"/>
      <c r="F170" s="348"/>
      <c r="G170" s="348"/>
      <c r="H170" s="348"/>
      <c r="I170" s="348"/>
      <c r="J170" s="348"/>
      <c r="M170" s="467"/>
      <c r="N170" s="467"/>
      <c r="O170" s="467"/>
      <c r="P170" s="467"/>
      <c r="Q170" s="467"/>
    </row>
    <row r="171" spans="1:39" ht="18" hidden="1" x14ac:dyDescent="0.2">
      <c r="A171" s="348" t="s">
        <v>90</v>
      </c>
      <c r="B171" s="348"/>
      <c r="C171" s="348"/>
      <c r="D171" s="348"/>
      <c r="E171" s="348"/>
      <c r="F171" s="348"/>
      <c r="G171" s="348"/>
      <c r="H171" s="348"/>
      <c r="I171" s="348"/>
      <c r="J171" s="348"/>
      <c r="M171" s="468"/>
      <c r="N171" s="468"/>
      <c r="O171" s="468"/>
      <c r="P171" s="468"/>
      <c r="Q171" s="468"/>
    </row>
    <row r="172" spans="1:39" ht="15" hidden="1" x14ac:dyDescent="0.2">
      <c r="A172" s="349" t="s">
        <v>180</v>
      </c>
      <c r="B172" s="349"/>
      <c r="C172" s="349"/>
      <c r="D172" s="349"/>
      <c r="E172" s="349"/>
      <c r="F172" s="349"/>
      <c r="G172" s="349"/>
      <c r="H172" s="349"/>
      <c r="I172" s="349"/>
      <c r="J172" s="349"/>
      <c r="M172" s="469"/>
      <c r="N172" s="469"/>
      <c r="O172" s="469"/>
      <c r="P172" s="469"/>
      <c r="Q172" s="469"/>
    </row>
    <row r="173" spans="1:39" ht="18" hidden="1" x14ac:dyDescent="0.2">
      <c r="A173" s="354" t="s">
        <v>168</v>
      </c>
      <c r="B173" s="354"/>
      <c r="C173" s="354"/>
      <c r="D173" s="354"/>
      <c r="E173" s="354"/>
      <c r="F173" s="354"/>
      <c r="G173" s="354"/>
      <c r="H173" s="354"/>
      <c r="I173" s="354"/>
      <c r="J173" s="354"/>
      <c r="M173" s="470"/>
      <c r="N173" s="470"/>
      <c r="O173" s="470"/>
      <c r="P173" s="470"/>
      <c r="Q173" s="470"/>
    </row>
    <row r="174" spans="1:39" ht="18" x14ac:dyDescent="0.2">
      <c r="A174" s="260"/>
      <c r="B174" s="260"/>
      <c r="C174" s="260"/>
      <c r="D174" s="260"/>
      <c r="E174" s="260"/>
      <c r="F174" s="260"/>
      <c r="G174" s="260"/>
      <c r="H174" s="260"/>
      <c r="I174" s="260"/>
      <c r="J174" s="260"/>
      <c r="M174" s="471"/>
      <c r="N174" s="471"/>
      <c r="O174" s="471"/>
      <c r="P174" s="471"/>
      <c r="Q174" s="471"/>
    </row>
    <row r="175" spans="1:39" s="59" customFormat="1" ht="18" x14ac:dyDescent="0.2">
      <c r="A175" s="350" t="s">
        <v>317</v>
      </c>
      <c r="B175" s="350"/>
      <c r="C175" s="350"/>
      <c r="D175" s="350"/>
      <c r="E175" s="350"/>
      <c r="F175" s="350"/>
      <c r="G175" s="350"/>
      <c r="H175" s="350"/>
      <c r="I175" s="350"/>
      <c r="J175" s="350"/>
      <c r="K175" s="161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</row>
    <row r="176" spans="1:39" s="3" customFormat="1" ht="15" customHeight="1" x14ac:dyDescent="0.2">
      <c r="A176" s="356" t="s">
        <v>91</v>
      </c>
      <c r="B176" s="356" t="s">
        <v>92</v>
      </c>
      <c r="C176" s="356" t="s">
        <v>93</v>
      </c>
      <c r="D176" s="356" t="s">
        <v>94</v>
      </c>
      <c r="E176" s="356" t="s">
        <v>95</v>
      </c>
      <c r="F176" s="356" t="s">
        <v>96</v>
      </c>
      <c r="G176" s="356" t="s">
        <v>169</v>
      </c>
      <c r="H176" s="356" t="s">
        <v>169</v>
      </c>
      <c r="I176" s="356" t="s">
        <v>170</v>
      </c>
      <c r="J176" s="356" t="s">
        <v>171</v>
      </c>
    </row>
    <row r="177" spans="1:16" s="3" customFormat="1" ht="12" x14ac:dyDescent="0.2">
      <c r="A177" s="356"/>
      <c r="B177" s="356"/>
      <c r="C177" s="356"/>
      <c r="D177" s="356"/>
      <c r="E177" s="356"/>
      <c r="F177" s="356"/>
      <c r="G177" s="356"/>
      <c r="H177" s="356"/>
      <c r="I177" s="356"/>
      <c r="J177" s="356"/>
      <c r="K177" s="161"/>
    </row>
    <row r="178" spans="1:16" x14ac:dyDescent="0.2">
      <c r="A178" s="4">
        <v>1</v>
      </c>
      <c r="B178" s="79"/>
      <c r="C178" s="5"/>
      <c r="D178" s="6" t="s">
        <v>183</v>
      </c>
      <c r="E178" s="267"/>
      <c r="F178" s="47"/>
      <c r="G178" s="25"/>
      <c r="H178" s="25"/>
      <c r="I178" s="63"/>
      <c r="J178" s="47"/>
      <c r="K178" s="166"/>
    </row>
    <row r="179" spans="1:16" hidden="1" x14ac:dyDescent="0.2">
      <c r="A179" s="38" t="s">
        <v>26</v>
      </c>
      <c r="B179" s="39" t="s">
        <v>24</v>
      </c>
      <c r="C179" s="39" t="s">
        <v>205</v>
      </c>
      <c r="D179" s="40" t="s">
        <v>184</v>
      </c>
      <c r="E179" s="41" t="s">
        <v>6</v>
      </c>
      <c r="F179" s="45">
        <v>0</v>
      </c>
      <c r="G179" s="45">
        <v>79933.38</v>
      </c>
      <c r="H179" s="45">
        <v>367.95</v>
      </c>
      <c r="I179" s="42">
        <f>ROUND(H179*(1+$E$168),2)</f>
        <v>445.11</v>
      </c>
      <c r="J179" s="45">
        <f>ROUND(F179*I179,2)</f>
        <v>0</v>
      </c>
      <c r="K179" s="166"/>
    </row>
    <row r="180" spans="1:16" ht="24" x14ac:dyDescent="0.2">
      <c r="A180" s="38" t="s">
        <v>26</v>
      </c>
      <c r="B180" s="39" t="s">
        <v>24</v>
      </c>
      <c r="C180" s="39">
        <v>78472</v>
      </c>
      <c r="D180" s="40" t="s">
        <v>185</v>
      </c>
      <c r="E180" s="41" t="s">
        <v>6</v>
      </c>
      <c r="F180" s="45">
        <f>ROUND(32.57+7.3+11.66+437.66+452.38+211.09+8.13+7.47+5.92+11.66+563.58+279.78+56.76+6.6+67.26+139.79+16.21+15.74+182.57+13.54+188.84+16.64+231.38+388.44,2)</f>
        <v>3352.97</v>
      </c>
      <c r="G180" s="45">
        <v>166732.84</v>
      </c>
      <c r="H180" s="45">
        <v>0.34</v>
      </c>
      <c r="I180" s="42">
        <f>ROUND(H180*(1+$E$168),2)</f>
        <v>0.41</v>
      </c>
      <c r="J180" s="45">
        <f t="shared" ref="J180" si="26">ROUND(F180*I180,2)</f>
        <v>1374.72</v>
      </c>
      <c r="K180" s="166"/>
    </row>
    <row r="181" spans="1:16" x14ac:dyDescent="0.2">
      <c r="A181" s="27"/>
      <c r="B181" s="28"/>
      <c r="C181" s="28"/>
      <c r="D181" s="29" t="s">
        <v>172</v>
      </c>
      <c r="E181" s="27"/>
      <c r="F181" s="48"/>
      <c r="G181" s="48"/>
      <c r="H181" s="48"/>
      <c r="I181" s="63"/>
      <c r="J181" s="49">
        <f>SUM(J179:J180)</f>
        <v>1374.72</v>
      </c>
      <c r="K181" s="166"/>
    </row>
    <row r="182" spans="1:16" hidden="1" x14ac:dyDescent="0.2">
      <c r="A182" s="10"/>
      <c r="B182" s="11"/>
      <c r="C182" s="11"/>
      <c r="D182" s="12"/>
      <c r="E182" s="13"/>
      <c r="F182" s="46"/>
      <c r="G182" s="46"/>
      <c r="H182" s="46"/>
      <c r="I182" s="63"/>
      <c r="J182" s="46"/>
      <c r="K182" s="166"/>
    </row>
    <row r="183" spans="1:16" hidden="1" x14ac:dyDescent="0.2">
      <c r="A183" s="4">
        <v>2</v>
      </c>
      <c r="B183" s="5"/>
      <c r="C183" s="5"/>
      <c r="D183" s="6" t="s">
        <v>186</v>
      </c>
      <c r="E183" s="267"/>
      <c r="F183" s="47"/>
      <c r="G183" s="47"/>
      <c r="H183" s="47"/>
      <c r="I183" s="63"/>
      <c r="J183" s="47"/>
      <c r="K183" s="166"/>
    </row>
    <row r="184" spans="1:16" hidden="1" x14ac:dyDescent="0.2">
      <c r="A184" s="38" t="s">
        <v>27</v>
      </c>
      <c r="B184" s="39" t="s">
        <v>24</v>
      </c>
      <c r="C184" s="39" t="s">
        <v>208</v>
      </c>
      <c r="D184" s="40" t="s">
        <v>187</v>
      </c>
      <c r="E184" s="41" t="s">
        <v>5</v>
      </c>
      <c r="F184" s="45">
        <v>0</v>
      </c>
      <c r="G184" s="46"/>
      <c r="H184" s="45">
        <v>3.8</v>
      </c>
      <c r="I184" s="63"/>
      <c r="J184" s="45">
        <f t="shared" ref="J184:J185" si="27">ROUND(F184*I184,2)</f>
        <v>0</v>
      </c>
      <c r="K184" s="166"/>
    </row>
    <row r="185" spans="1:16" hidden="1" x14ac:dyDescent="0.2">
      <c r="A185" s="38" t="s">
        <v>30</v>
      </c>
      <c r="B185" s="39"/>
      <c r="C185" s="39"/>
      <c r="D185" s="40" t="s">
        <v>188</v>
      </c>
      <c r="E185" s="41" t="s">
        <v>5</v>
      </c>
      <c r="F185" s="45">
        <v>0</v>
      </c>
      <c r="G185" s="46"/>
      <c r="H185" s="45">
        <v>3.81</v>
      </c>
      <c r="I185" s="63"/>
      <c r="J185" s="45">
        <f t="shared" si="27"/>
        <v>0</v>
      </c>
      <c r="K185" s="166"/>
      <c r="L185" s="51"/>
    </row>
    <row r="186" spans="1:16" ht="36" hidden="1" x14ac:dyDescent="0.2">
      <c r="A186" s="38" t="s">
        <v>191</v>
      </c>
      <c r="B186" s="39" t="s">
        <v>24</v>
      </c>
      <c r="C186" s="39" t="s">
        <v>206</v>
      </c>
      <c r="D186" s="40" t="s">
        <v>189</v>
      </c>
      <c r="E186" s="41" t="s">
        <v>5</v>
      </c>
      <c r="F186" s="45">
        <v>0</v>
      </c>
      <c r="G186" s="45"/>
      <c r="H186" s="45">
        <f>10.42+20.9</f>
        <v>31.32</v>
      </c>
      <c r="I186" s="63"/>
      <c r="J186" s="45">
        <f>ROUND(F186*I186,2)</f>
        <v>0</v>
      </c>
      <c r="K186" s="168"/>
    </row>
    <row r="187" spans="1:16" hidden="1" x14ac:dyDescent="0.2">
      <c r="A187" s="38" t="s">
        <v>192</v>
      </c>
      <c r="B187" s="39"/>
      <c r="C187" s="39"/>
      <c r="D187" s="40" t="s">
        <v>190</v>
      </c>
      <c r="E187" s="38" t="s">
        <v>5</v>
      </c>
      <c r="F187" s="45">
        <v>0</v>
      </c>
      <c r="G187" s="45"/>
      <c r="H187" s="45">
        <v>7.72</v>
      </c>
      <c r="I187" s="63"/>
      <c r="J187" s="45">
        <f>ROUND(F187*I187,2)</f>
        <v>0</v>
      </c>
      <c r="K187" s="166"/>
    </row>
    <row r="188" spans="1:16" hidden="1" x14ac:dyDescent="0.2">
      <c r="A188" s="27"/>
      <c r="B188" s="28"/>
      <c r="C188" s="28"/>
      <c r="D188" s="29" t="s">
        <v>172</v>
      </c>
      <c r="E188" s="27"/>
      <c r="F188" s="48"/>
      <c r="G188" s="48"/>
      <c r="H188" s="48"/>
      <c r="I188" s="63"/>
      <c r="J188" s="49">
        <f>SUM(J184:J187)</f>
        <v>0</v>
      </c>
      <c r="K188" s="166"/>
    </row>
    <row r="189" spans="1:16" x14ac:dyDescent="0.2">
      <c r="A189" s="10"/>
      <c r="B189" s="11"/>
      <c r="C189" s="11"/>
      <c r="D189" s="12"/>
      <c r="E189" s="13"/>
      <c r="F189" s="46"/>
      <c r="G189" s="46"/>
      <c r="H189" s="46"/>
      <c r="I189" s="63"/>
      <c r="J189" s="46"/>
      <c r="K189" s="166"/>
    </row>
    <row r="190" spans="1:16" s="8" customFormat="1" ht="12" x14ac:dyDescent="0.2">
      <c r="A190" s="25">
        <v>2</v>
      </c>
      <c r="B190" s="109"/>
      <c r="C190" s="109"/>
      <c r="D190" s="110" t="s">
        <v>135</v>
      </c>
      <c r="E190" s="112"/>
      <c r="F190" s="169"/>
      <c r="G190" s="169"/>
      <c r="H190" s="169"/>
      <c r="I190" s="63"/>
      <c r="J190" s="169"/>
      <c r="K190" s="161"/>
      <c r="L190" s="26"/>
      <c r="M190" s="15"/>
      <c r="N190" s="9"/>
      <c r="O190" s="9"/>
      <c r="P190" s="9"/>
    </row>
    <row r="191" spans="1:16" s="8" customFormat="1" ht="12" x14ac:dyDescent="0.2">
      <c r="A191" s="38" t="s">
        <v>27</v>
      </c>
      <c r="B191" s="39" t="s">
        <v>24</v>
      </c>
      <c r="C191" s="39">
        <v>90093</v>
      </c>
      <c r="D191" s="40" t="s">
        <v>136</v>
      </c>
      <c r="E191" s="41" t="s">
        <v>5</v>
      </c>
      <c r="F191" s="45">
        <f>351.64</f>
        <v>351.64</v>
      </c>
      <c r="G191" s="45">
        <v>4.55</v>
      </c>
      <c r="H191" s="45">
        <v>3.37</v>
      </c>
      <c r="I191" s="42">
        <f>ROUND(H191*(1+$E$168),2)</f>
        <v>4.08</v>
      </c>
      <c r="J191" s="45">
        <f t="shared" ref="J191:J194" si="28">ROUND(F191*I191,2)</f>
        <v>1434.69</v>
      </c>
      <c r="K191" s="161"/>
      <c r="L191" s="26"/>
      <c r="M191" s="15"/>
      <c r="N191" s="164"/>
      <c r="O191" s="164"/>
      <c r="P191" s="17"/>
    </row>
    <row r="192" spans="1:16" s="58" customFormat="1" ht="12" x14ac:dyDescent="0.2">
      <c r="A192" s="38" t="s">
        <v>30</v>
      </c>
      <c r="B192" s="39" t="s">
        <v>23</v>
      </c>
      <c r="C192" s="39">
        <v>5914389</v>
      </c>
      <c r="D192" s="40" t="s">
        <v>145</v>
      </c>
      <c r="E192" s="41" t="s">
        <v>35</v>
      </c>
      <c r="F192" s="45">
        <f>ROUND((1.8*F191)*4,2)</f>
        <v>2531.81</v>
      </c>
      <c r="G192" s="45">
        <v>0.6</v>
      </c>
      <c r="H192" s="42">
        <v>0.47</v>
      </c>
      <c r="I192" s="42">
        <f>ROUND(H192*(1+$E$168),2)</f>
        <v>0.56999999999999995</v>
      </c>
      <c r="J192" s="45">
        <f t="shared" si="28"/>
        <v>1443.13</v>
      </c>
      <c r="K192" s="65"/>
      <c r="L192" s="55"/>
      <c r="M192" s="56"/>
      <c r="N192" s="66"/>
      <c r="O192" s="66"/>
      <c r="P192" s="57"/>
    </row>
    <row r="193" spans="1:16" s="58" customFormat="1" ht="12" x14ac:dyDescent="0.2">
      <c r="A193" s="38"/>
      <c r="B193" s="39"/>
      <c r="C193" s="39"/>
      <c r="D193" s="40" t="s">
        <v>463</v>
      </c>
      <c r="E193" s="41"/>
      <c r="F193" s="45"/>
      <c r="G193" s="45"/>
      <c r="H193" s="42"/>
      <c r="I193" s="42"/>
      <c r="J193" s="45"/>
      <c r="K193" s="65"/>
      <c r="L193" s="55"/>
      <c r="M193" s="56"/>
      <c r="N193" s="66"/>
      <c r="O193" s="66"/>
      <c r="P193" s="57"/>
    </row>
    <row r="194" spans="1:16" s="8" customFormat="1" ht="12" x14ac:dyDescent="0.2">
      <c r="A194" s="38" t="s">
        <v>191</v>
      </c>
      <c r="B194" s="39" t="s">
        <v>427</v>
      </c>
      <c r="C194" s="39">
        <v>50401</v>
      </c>
      <c r="D194" s="40" t="s">
        <v>464</v>
      </c>
      <c r="E194" s="41" t="s">
        <v>6</v>
      </c>
      <c r="F194" s="45">
        <v>479.81</v>
      </c>
      <c r="G194" s="45">
        <v>28.57</v>
      </c>
      <c r="H194" s="45">
        <v>6.43</v>
      </c>
      <c r="I194" s="42">
        <f>ROUND(H194*(1+$E$168),2)</f>
        <v>7.78</v>
      </c>
      <c r="J194" s="45">
        <f t="shared" si="28"/>
        <v>3732.92</v>
      </c>
      <c r="K194" s="161"/>
      <c r="L194" s="26"/>
      <c r="M194" s="15"/>
      <c r="N194" s="164"/>
      <c r="O194" s="164"/>
      <c r="P194" s="17"/>
    </row>
    <row r="195" spans="1:16" s="8" customFormat="1" ht="12" x14ac:dyDescent="0.2">
      <c r="A195" s="38" t="s">
        <v>191</v>
      </c>
      <c r="B195" s="39" t="s">
        <v>427</v>
      </c>
      <c r="C195" s="39">
        <v>50402</v>
      </c>
      <c r="D195" s="40" t="s">
        <v>465</v>
      </c>
      <c r="E195" s="41" t="s">
        <v>6</v>
      </c>
      <c r="F195" s="45">
        <v>38.4</v>
      </c>
      <c r="G195" s="45">
        <v>28.57</v>
      </c>
      <c r="H195" s="45">
        <v>6.85</v>
      </c>
      <c r="I195" s="42">
        <f>ROUND(H195*(1+$E$168),2)</f>
        <v>8.2899999999999991</v>
      </c>
      <c r="J195" s="45">
        <f t="shared" ref="J195" si="29">ROUND(F195*I195,2)</f>
        <v>318.33999999999997</v>
      </c>
      <c r="K195" s="161"/>
      <c r="L195" s="26"/>
      <c r="M195" s="15"/>
      <c r="N195" s="164"/>
      <c r="O195" s="164"/>
      <c r="P195" s="17"/>
    </row>
    <row r="196" spans="1:16" s="8" customFormat="1" ht="12" x14ac:dyDescent="0.2">
      <c r="A196" s="53" t="s">
        <v>192</v>
      </c>
      <c r="B196" s="11"/>
      <c r="C196" s="11"/>
      <c r="D196" s="36" t="s">
        <v>137</v>
      </c>
      <c r="E196" s="13"/>
      <c r="F196" s="46"/>
      <c r="G196" s="46"/>
      <c r="H196" s="46"/>
      <c r="I196" s="63"/>
      <c r="J196" s="50"/>
      <c r="K196" s="161"/>
      <c r="L196" s="26"/>
      <c r="M196" s="15"/>
      <c r="N196" s="164"/>
      <c r="O196" s="164"/>
      <c r="P196" s="17"/>
    </row>
    <row r="197" spans="1:16" s="8" customFormat="1" ht="12" x14ac:dyDescent="0.2">
      <c r="A197" s="38" t="s">
        <v>240</v>
      </c>
      <c r="B197" s="39" t="s">
        <v>24</v>
      </c>
      <c r="C197" s="39">
        <v>92210</v>
      </c>
      <c r="D197" s="40" t="s">
        <v>138</v>
      </c>
      <c r="E197" s="41" t="s">
        <v>9</v>
      </c>
      <c r="F197" s="45">
        <v>47</v>
      </c>
      <c r="G197" s="45">
        <v>85.92</v>
      </c>
      <c r="H197" s="42">
        <v>84.08</v>
      </c>
      <c r="I197" s="42">
        <f>ROUND(H197*(1+$E$168),2)</f>
        <v>101.71</v>
      </c>
      <c r="J197" s="45">
        <f t="shared" ref="J197:J198" si="30">ROUND(F197*I197,2)</f>
        <v>4780.37</v>
      </c>
      <c r="K197" s="161"/>
      <c r="L197" s="26"/>
      <c r="M197" s="15"/>
      <c r="N197" s="164"/>
      <c r="O197" s="164"/>
      <c r="P197" s="17"/>
    </row>
    <row r="198" spans="1:16" s="8" customFormat="1" ht="12" x14ac:dyDescent="0.2">
      <c r="A198" s="38" t="s">
        <v>241</v>
      </c>
      <c r="B198" s="39" t="s">
        <v>24</v>
      </c>
      <c r="C198" s="39">
        <v>92212</v>
      </c>
      <c r="D198" s="40" t="s">
        <v>139</v>
      </c>
      <c r="E198" s="41" t="s">
        <v>9</v>
      </c>
      <c r="F198" s="45">
        <v>153</v>
      </c>
      <c r="G198" s="45">
        <v>137.82</v>
      </c>
      <c r="H198" s="42">
        <v>134.91999999999999</v>
      </c>
      <c r="I198" s="42">
        <f>ROUND(H198*(1+$E$168),2)</f>
        <v>163.21</v>
      </c>
      <c r="J198" s="45">
        <f t="shared" si="30"/>
        <v>24971.13</v>
      </c>
      <c r="K198" s="161"/>
      <c r="L198" s="26"/>
      <c r="M198" s="15"/>
      <c r="N198" s="164"/>
      <c r="O198" s="164"/>
      <c r="P198" s="17"/>
    </row>
    <row r="199" spans="1:16" s="8" customFormat="1" ht="12" hidden="1" x14ac:dyDescent="0.2">
      <c r="A199" s="38" t="s">
        <v>242</v>
      </c>
      <c r="B199" s="11" t="s">
        <v>24</v>
      </c>
      <c r="C199" s="11">
        <v>92214</v>
      </c>
      <c r="D199" s="12" t="s">
        <v>140</v>
      </c>
      <c r="E199" s="13" t="s">
        <v>9</v>
      </c>
      <c r="F199" s="46"/>
      <c r="G199" s="46"/>
      <c r="H199" s="46"/>
      <c r="I199" s="42">
        <f>ROUND(H199*(1+$E$168),2)</f>
        <v>0</v>
      </c>
      <c r="J199" s="50"/>
      <c r="K199" s="161"/>
      <c r="L199" s="26"/>
      <c r="M199" s="15"/>
      <c r="N199" s="164"/>
      <c r="O199" s="164"/>
      <c r="P199" s="17"/>
    </row>
    <row r="200" spans="1:16" s="58" customFormat="1" ht="12" x14ac:dyDescent="0.2">
      <c r="A200" s="38" t="s">
        <v>242</v>
      </c>
      <c r="B200" s="39" t="s">
        <v>24</v>
      </c>
      <c r="C200" s="39">
        <v>92214</v>
      </c>
      <c r="D200" s="40" t="s">
        <v>140</v>
      </c>
      <c r="E200" s="41" t="s">
        <v>9</v>
      </c>
      <c r="F200" s="45">
        <v>12</v>
      </c>
      <c r="G200" s="45">
        <v>137.82</v>
      </c>
      <c r="H200" s="45">
        <v>200.06</v>
      </c>
      <c r="I200" s="42">
        <f>ROUND(H200*(1+$E$168),2)</f>
        <v>242.01</v>
      </c>
      <c r="J200" s="45">
        <f t="shared" ref="J200" si="31">ROUND(F200*I200,2)</f>
        <v>2904.12</v>
      </c>
      <c r="K200" s="65"/>
      <c r="L200" s="55"/>
      <c r="M200" s="56"/>
      <c r="N200" s="66"/>
      <c r="O200" s="66"/>
      <c r="P200" s="57"/>
    </row>
    <row r="201" spans="1:16" s="8" customFormat="1" ht="12" x14ac:dyDescent="0.2">
      <c r="A201" s="10" t="s">
        <v>218</v>
      </c>
      <c r="B201" s="11"/>
      <c r="C201" s="11"/>
      <c r="D201" s="12" t="s">
        <v>45</v>
      </c>
      <c r="E201" s="13"/>
      <c r="F201" s="46"/>
      <c r="G201" s="46"/>
      <c r="H201" s="46"/>
      <c r="I201" s="63"/>
      <c r="J201" s="50"/>
      <c r="K201" s="161"/>
      <c r="L201" s="26"/>
      <c r="M201" s="15"/>
      <c r="N201" s="164"/>
      <c r="O201" s="164"/>
      <c r="P201" s="17"/>
    </row>
    <row r="202" spans="1:16" s="58" customFormat="1" ht="12" x14ac:dyDescent="0.2">
      <c r="A202" s="38" t="s">
        <v>244</v>
      </c>
      <c r="B202" s="39"/>
      <c r="C202" s="39" t="s">
        <v>100</v>
      </c>
      <c r="D202" s="40" t="s">
        <v>46</v>
      </c>
      <c r="E202" s="41" t="s">
        <v>7</v>
      </c>
      <c r="F202" s="45">
        <v>4</v>
      </c>
      <c r="G202" s="45">
        <v>690.18</v>
      </c>
      <c r="H202" s="45">
        <v>1002.24</v>
      </c>
      <c r="I202" s="42">
        <f>ROUND(H202*(1+$E$168),2)</f>
        <v>1212.4100000000001</v>
      </c>
      <c r="J202" s="45">
        <f t="shared" ref="J202:J203" si="32">ROUND(F202*I202,2)</f>
        <v>4849.6400000000003</v>
      </c>
      <c r="K202" s="65"/>
      <c r="L202" s="55"/>
      <c r="M202" s="56"/>
      <c r="N202" s="66"/>
      <c r="O202" s="66"/>
      <c r="P202" s="57"/>
    </row>
    <row r="203" spans="1:16" s="58" customFormat="1" ht="12" x14ac:dyDescent="0.2">
      <c r="A203" s="38" t="s">
        <v>245</v>
      </c>
      <c r="B203" s="39"/>
      <c r="C203" s="39" t="s">
        <v>100</v>
      </c>
      <c r="D203" s="40" t="s">
        <v>47</v>
      </c>
      <c r="E203" s="41" t="s">
        <v>7</v>
      </c>
      <c r="F203" s="45">
        <v>13</v>
      </c>
      <c r="G203" s="45">
        <v>759.67</v>
      </c>
      <c r="H203" s="45">
        <v>1351.13</v>
      </c>
      <c r="I203" s="42">
        <f>ROUND(H203*(1+$E$168),2)</f>
        <v>1634.46</v>
      </c>
      <c r="J203" s="45">
        <f t="shared" si="32"/>
        <v>21247.98</v>
      </c>
      <c r="K203" s="65"/>
      <c r="L203" s="55"/>
      <c r="M203" s="56"/>
      <c r="N203" s="66"/>
      <c r="O203" s="66"/>
      <c r="P203" s="57"/>
    </row>
    <row r="204" spans="1:16" s="58" customFormat="1" ht="12" hidden="1" x14ac:dyDescent="0.2">
      <c r="A204" s="38" t="s">
        <v>246</v>
      </c>
      <c r="B204" s="39"/>
      <c r="C204" s="39" t="s">
        <v>100</v>
      </c>
      <c r="D204" s="40" t="s">
        <v>48</v>
      </c>
      <c r="E204" s="41" t="s">
        <v>7</v>
      </c>
      <c r="F204" s="45"/>
      <c r="G204" s="45"/>
      <c r="H204" s="45"/>
      <c r="I204" s="42">
        <f>ROUND(H204*(1+$E$168),2)</f>
        <v>0</v>
      </c>
      <c r="J204" s="45"/>
      <c r="K204" s="65"/>
      <c r="L204" s="55"/>
      <c r="M204" s="56"/>
      <c r="N204" s="66"/>
      <c r="O204" s="66"/>
      <c r="P204" s="57"/>
    </row>
    <row r="205" spans="1:16" s="58" customFormat="1" ht="12" x14ac:dyDescent="0.2">
      <c r="A205" s="38" t="s">
        <v>246</v>
      </c>
      <c r="B205" s="39"/>
      <c r="C205" s="39" t="s">
        <v>100</v>
      </c>
      <c r="D205" s="40" t="s">
        <v>48</v>
      </c>
      <c r="E205" s="41" t="s">
        <v>7</v>
      </c>
      <c r="F205" s="45">
        <v>1</v>
      </c>
      <c r="G205" s="45">
        <v>2329.59</v>
      </c>
      <c r="H205" s="45">
        <v>1719.67</v>
      </c>
      <c r="I205" s="42">
        <f>ROUND(H205*(1+$E$168),2)</f>
        <v>2080.2800000000002</v>
      </c>
      <c r="J205" s="45">
        <f t="shared" ref="J205" si="33">ROUND(F205*I205,2)</f>
        <v>2080.2800000000002</v>
      </c>
      <c r="K205" s="65"/>
      <c r="L205" s="55"/>
      <c r="M205" s="56"/>
      <c r="N205" s="66"/>
      <c r="O205" s="66"/>
      <c r="P205" s="57"/>
    </row>
    <row r="206" spans="1:16" s="8" customFormat="1" ht="12" x14ac:dyDescent="0.2">
      <c r="A206" s="10" t="s">
        <v>219</v>
      </c>
      <c r="B206" s="11"/>
      <c r="C206" s="11"/>
      <c r="D206" s="12" t="s">
        <v>143</v>
      </c>
      <c r="E206" s="13"/>
      <c r="F206" s="46"/>
      <c r="G206" s="46"/>
      <c r="H206" s="46"/>
      <c r="I206" s="63"/>
      <c r="J206" s="50"/>
      <c r="K206" s="161"/>
      <c r="L206" s="26"/>
      <c r="M206" s="15"/>
      <c r="N206" s="164"/>
      <c r="O206" s="164"/>
      <c r="P206" s="17"/>
    </row>
    <row r="207" spans="1:16" s="58" customFormat="1" ht="12" x14ac:dyDescent="0.2">
      <c r="A207" s="38" t="s">
        <v>248</v>
      </c>
      <c r="B207" s="39"/>
      <c r="C207" s="39" t="s">
        <v>100</v>
      </c>
      <c r="D207" s="40" t="s">
        <v>47</v>
      </c>
      <c r="E207" s="41" t="s">
        <v>7</v>
      </c>
      <c r="F207" s="45">
        <v>3</v>
      </c>
      <c r="G207" s="45">
        <v>507.1</v>
      </c>
      <c r="H207" s="45">
        <v>1205.56</v>
      </c>
      <c r="I207" s="42">
        <f>ROUND(H207*(1+$E$168),2)</f>
        <v>1458.37</v>
      </c>
      <c r="J207" s="45">
        <f t="shared" ref="J207" si="34">ROUND(F207*I207,2)</f>
        <v>4375.1099999999997</v>
      </c>
      <c r="K207" s="65"/>
      <c r="L207" s="55"/>
      <c r="M207" s="56"/>
      <c r="N207" s="66"/>
      <c r="O207" s="66"/>
      <c r="P207" s="57"/>
    </row>
    <row r="208" spans="1:16" s="142" customFormat="1" ht="12" hidden="1" x14ac:dyDescent="0.2">
      <c r="A208" s="132" t="s">
        <v>58</v>
      </c>
      <c r="B208" s="133"/>
      <c r="C208" s="133" t="s">
        <v>100</v>
      </c>
      <c r="D208" s="134" t="s">
        <v>48</v>
      </c>
      <c r="E208" s="135" t="s">
        <v>7</v>
      </c>
      <c r="F208" s="136"/>
      <c r="G208" s="136"/>
      <c r="H208" s="136"/>
      <c r="I208" s="143">
        <f>ROUND(H208*(1+$E$168),2)</f>
        <v>0</v>
      </c>
      <c r="J208" s="136"/>
      <c r="K208" s="137"/>
      <c r="L208" s="138"/>
      <c r="M208" s="139"/>
      <c r="N208" s="140"/>
      <c r="O208" s="140"/>
      <c r="P208" s="141"/>
    </row>
    <row r="209" spans="1:39" s="8" customFormat="1" ht="12" x14ac:dyDescent="0.2">
      <c r="A209" s="10" t="s">
        <v>220</v>
      </c>
      <c r="B209" s="11"/>
      <c r="C209" s="11"/>
      <c r="D209" s="12" t="s">
        <v>38</v>
      </c>
      <c r="E209" s="13"/>
      <c r="F209" s="46"/>
      <c r="G209" s="46"/>
      <c r="H209" s="46"/>
      <c r="I209" s="63"/>
      <c r="J209" s="46"/>
      <c r="K209" s="161"/>
      <c r="L209" s="26"/>
      <c r="M209" s="15"/>
      <c r="N209" s="164"/>
      <c r="O209" s="164"/>
      <c r="P209" s="17"/>
    </row>
    <row r="210" spans="1:39" s="8" customFormat="1" ht="12" x14ac:dyDescent="0.2">
      <c r="A210" s="10" t="s">
        <v>252</v>
      </c>
      <c r="B210" s="11"/>
      <c r="C210" s="11"/>
      <c r="D210" s="12" t="s">
        <v>39</v>
      </c>
      <c r="E210" s="13"/>
      <c r="F210" s="46"/>
      <c r="G210" s="46"/>
      <c r="H210" s="46"/>
      <c r="I210" s="63"/>
      <c r="J210" s="46"/>
      <c r="K210" s="161"/>
      <c r="L210" s="26"/>
      <c r="M210" s="15"/>
      <c r="N210" s="164"/>
      <c r="O210" s="164"/>
      <c r="P210" s="17"/>
    </row>
    <row r="211" spans="1:39" s="58" customFormat="1" ht="12" x14ac:dyDescent="0.2">
      <c r="A211" s="38" t="s">
        <v>380</v>
      </c>
      <c r="B211" s="39" t="s">
        <v>24</v>
      </c>
      <c r="C211" s="52" t="s">
        <v>499</v>
      </c>
      <c r="D211" s="40" t="s">
        <v>498</v>
      </c>
      <c r="E211" s="41" t="s">
        <v>9</v>
      </c>
      <c r="F211" s="45">
        <f>47+153</f>
        <v>200</v>
      </c>
      <c r="G211" s="45">
        <v>7.72</v>
      </c>
      <c r="H211" s="45">
        <v>45.65</v>
      </c>
      <c r="I211" s="42">
        <f>ROUND(H211*(1+$E$168),2)</f>
        <v>55.22</v>
      </c>
      <c r="J211" s="45">
        <f t="shared" ref="J211:J214" si="35">ROUND(F211*I211,2)</f>
        <v>11044</v>
      </c>
      <c r="K211" s="65"/>
      <c r="L211" s="55"/>
      <c r="M211" s="56"/>
      <c r="N211" s="66"/>
      <c r="O211" s="66"/>
      <c r="P211" s="57"/>
    </row>
    <row r="212" spans="1:39" s="8" customFormat="1" ht="12" x14ac:dyDescent="0.2">
      <c r="A212" s="38" t="s">
        <v>381</v>
      </c>
      <c r="B212" s="39" t="s">
        <v>23</v>
      </c>
      <c r="C212" s="39">
        <v>2003849</v>
      </c>
      <c r="D212" s="40" t="s">
        <v>212</v>
      </c>
      <c r="E212" s="41" t="s">
        <v>5</v>
      </c>
      <c r="F212" s="45">
        <v>16.956499999999998</v>
      </c>
      <c r="G212" s="45">
        <v>91.67</v>
      </c>
      <c r="H212" s="45">
        <v>66.44</v>
      </c>
      <c r="I212" s="42">
        <f>ROUND(H212*(1+$E$168),2)</f>
        <v>80.37</v>
      </c>
      <c r="J212" s="45">
        <f t="shared" si="35"/>
        <v>1362.79</v>
      </c>
      <c r="K212" s="161"/>
      <c r="L212" s="26"/>
      <c r="M212" s="15"/>
      <c r="N212" s="164"/>
      <c r="O212" s="164"/>
      <c r="P212" s="17"/>
    </row>
    <row r="213" spans="1:39" s="8" customFormat="1" ht="12" x14ac:dyDescent="0.2">
      <c r="A213" s="38" t="s">
        <v>382</v>
      </c>
      <c r="B213" s="39" t="s">
        <v>24</v>
      </c>
      <c r="C213" s="39">
        <v>72844</v>
      </c>
      <c r="D213" s="40" t="s">
        <v>175</v>
      </c>
      <c r="E213" s="41" t="s">
        <v>8</v>
      </c>
      <c r="F213" s="45">
        <f>F212*1.8</f>
        <v>30.521699999999999</v>
      </c>
      <c r="G213" s="45">
        <v>0.66</v>
      </c>
      <c r="H213" s="45">
        <v>0.7</v>
      </c>
      <c r="I213" s="42">
        <f>ROUND(H213*(1+$E$168),2)</f>
        <v>0.85</v>
      </c>
      <c r="J213" s="45">
        <f t="shared" si="35"/>
        <v>25.94</v>
      </c>
      <c r="K213" s="161"/>
      <c r="L213" s="26"/>
      <c r="M213" s="15"/>
      <c r="N213" s="164"/>
      <c r="O213" s="164"/>
      <c r="P213" s="17"/>
    </row>
    <row r="214" spans="1:39" s="58" customFormat="1" ht="12" x14ac:dyDescent="0.2">
      <c r="A214" s="38" t="s">
        <v>383</v>
      </c>
      <c r="B214" s="39" t="s">
        <v>23</v>
      </c>
      <c r="C214" s="39">
        <v>5914389</v>
      </c>
      <c r="D214" s="40" t="s">
        <v>145</v>
      </c>
      <c r="E214" s="41" t="s">
        <v>35</v>
      </c>
      <c r="F214" s="45">
        <f>ROUND(F213*9,2)</f>
        <v>274.7</v>
      </c>
      <c r="G214" s="45">
        <v>0.4</v>
      </c>
      <c r="H214" s="45">
        <v>0.47</v>
      </c>
      <c r="I214" s="42">
        <f>ROUND(H214*(1+$E$168),2)</f>
        <v>0.56999999999999995</v>
      </c>
      <c r="J214" s="45">
        <f t="shared" si="35"/>
        <v>156.58000000000001</v>
      </c>
      <c r="K214" s="161"/>
      <c r="L214" s="26"/>
      <c r="M214" s="15"/>
      <c r="N214" s="164"/>
      <c r="O214" s="164"/>
      <c r="P214" s="17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spans="1:39" s="8" customFormat="1" ht="12" x14ac:dyDescent="0.2">
      <c r="A215" s="10" t="s">
        <v>384</v>
      </c>
      <c r="B215" s="11"/>
      <c r="C215" s="11"/>
      <c r="D215" s="12" t="s">
        <v>40</v>
      </c>
      <c r="E215" s="13"/>
      <c r="F215" s="46"/>
      <c r="G215" s="46"/>
      <c r="H215" s="46"/>
      <c r="I215" s="63"/>
      <c r="J215" s="50"/>
      <c r="K215" s="161"/>
      <c r="L215" s="26"/>
      <c r="M215" s="15"/>
      <c r="N215" s="164"/>
      <c r="O215" s="164"/>
      <c r="P215" s="17"/>
    </row>
    <row r="216" spans="1:39" s="58" customFormat="1" ht="12" x14ac:dyDescent="0.2">
      <c r="A216" s="38" t="s">
        <v>385</v>
      </c>
      <c r="B216" s="39" t="s">
        <v>23</v>
      </c>
      <c r="C216" s="39">
        <v>804103</v>
      </c>
      <c r="D216" s="40" t="s">
        <v>376</v>
      </c>
      <c r="E216" s="41" t="s">
        <v>7</v>
      </c>
      <c r="F216" s="45">
        <v>1</v>
      </c>
      <c r="G216" s="45">
        <v>6.34</v>
      </c>
      <c r="H216" s="45">
        <v>1015.94</v>
      </c>
      <c r="I216" s="42">
        <f>ROUND(H216*(1+$E$168),2)</f>
        <v>1228.98</v>
      </c>
      <c r="J216" s="45">
        <f t="shared" ref="J216" si="36">ROUND(F216*I216,2)</f>
        <v>1228.98</v>
      </c>
      <c r="K216" s="65"/>
      <c r="L216" s="55"/>
      <c r="M216" s="56"/>
      <c r="N216" s="66"/>
      <c r="O216" s="66"/>
      <c r="P216" s="57"/>
    </row>
    <row r="217" spans="1:39" s="8" customFormat="1" ht="12" x14ac:dyDescent="0.2">
      <c r="A217" s="53" t="s">
        <v>485</v>
      </c>
      <c r="B217" s="60"/>
      <c r="C217" s="263"/>
      <c r="D217" s="111" t="s">
        <v>490</v>
      </c>
      <c r="E217" s="62"/>
      <c r="F217" s="173"/>
      <c r="G217" s="63"/>
      <c r="H217" s="63"/>
      <c r="I217" s="63"/>
      <c r="J217" s="63"/>
      <c r="K217" s="24"/>
      <c r="L217" s="26"/>
      <c r="M217" s="264"/>
      <c r="N217" s="16"/>
      <c r="O217" s="16"/>
      <c r="P217" s="17"/>
    </row>
    <row r="218" spans="1:39" s="58" customFormat="1" ht="12" x14ac:dyDescent="0.2">
      <c r="A218" s="38" t="s">
        <v>486</v>
      </c>
      <c r="B218" s="39" t="s">
        <v>24</v>
      </c>
      <c r="C218" s="39">
        <v>94963</v>
      </c>
      <c r="D218" s="40" t="s">
        <v>479</v>
      </c>
      <c r="E218" s="41" t="s">
        <v>5</v>
      </c>
      <c r="F218" s="45">
        <f>12*0.12</f>
        <v>1.44</v>
      </c>
      <c r="G218" s="45">
        <v>299.27999999999997</v>
      </c>
      <c r="H218" s="45">
        <v>277.85000000000002</v>
      </c>
      <c r="I218" s="42">
        <f t="shared" ref="I218:I221" si="37">ROUND(H218*(1+$E$168),2)</f>
        <v>336.12</v>
      </c>
      <c r="J218" s="45">
        <f t="shared" ref="J218:J221" si="38">ROUND(F218*I218,2)</f>
        <v>484.01</v>
      </c>
      <c r="K218" s="65"/>
      <c r="L218" s="55"/>
      <c r="M218" s="56"/>
      <c r="N218" s="66"/>
      <c r="O218" s="66"/>
      <c r="P218" s="57"/>
    </row>
    <row r="219" spans="1:39" s="58" customFormat="1" ht="12" x14ac:dyDescent="0.2">
      <c r="A219" s="38" t="s">
        <v>487</v>
      </c>
      <c r="B219" s="39" t="s">
        <v>24</v>
      </c>
      <c r="C219" s="39" t="s">
        <v>87</v>
      </c>
      <c r="D219" s="40" t="s">
        <v>480</v>
      </c>
      <c r="E219" s="41" t="s">
        <v>5</v>
      </c>
      <c r="F219" s="45">
        <f>F218</f>
        <v>1.44</v>
      </c>
      <c r="G219" s="45">
        <v>101.01</v>
      </c>
      <c r="H219" s="45">
        <v>109.19</v>
      </c>
      <c r="I219" s="42">
        <f t="shared" si="37"/>
        <v>132.09</v>
      </c>
      <c r="J219" s="45">
        <f t="shared" si="38"/>
        <v>190.21</v>
      </c>
      <c r="K219" s="65"/>
      <c r="L219" s="55"/>
      <c r="M219" s="56"/>
      <c r="N219" s="66"/>
      <c r="O219" s="66"/>
      <c r="P219" s="57"/>
    </row>
    <row r="220" spans="1:39" s="58" customFormat="1" ht="12" x14ac:dyDescent="0.2">
      <c r="A220" s="38" t="s">
        <v>488</v>
      </c>
      <c r="B220" s="39" t="s">
        <v>23</v>
      </c>
      <c r="C220" s="39">
        <v>3103302</v>
      </c>
      <c r="D220" s="40" t="s">
        <v>482</v>
      </c>
      <c r="E220" s="41" t="s">
        <v>6</v>
      </c>
      <c r="F220" s="45">
        <f>12*0.2</f>
        <v>2.4000000000000004</v>
      </c>
      <c r="G220" s="45">
        <v>26.42</v>
      </c>
      <c r="H220" s="45">
        <v>58.22</v>
      </c>
      <c r="I220" s="42">
        <f t="shared" si="37"/>
        <v>70.430000000000007</v>
      </c>
      <c r="J220" s="45">
        <f t="shared" si="38"/>
        <v>169.03</v>
      </c>
      <c r="K220" s="65"/>
      <c r="L220" s="55"/>
      <c r="M220" s="56"/>
      <c r="N220" s="66"/>
      <c r="O220" s="66"/>
      <c r="P220" s="57"/>
    </row>
    <row r="221" spans="1:39" s="58" customFormat="1" ht="12" x14ac:dyDescent="0.2">
      <c r="A221" s="38" t="s">
        <v>489</v>
      </c>
      <c r="B221" s="39" t="s">
        <v>24</v>
      </c>
      <c r="C221" s="39" t="s">
        <v>3</v>
      </c>
      <c r="D221" s="40" t="s">
        <v>481</v>
      </c>
      <c r="E221" s="41" t="s">
        <v>4</v>
      </c>
      <c r="F221" s="45">
        <f>12*2.55</f>
        <v>30.599999999999998</v>
      </c>
      <c r="G221" s="45">
        <v>6.34</v>
      </c>
      <c r="H221" s="45">
        <v>6.29</v>
      </c>
      <c r="I221" s="42">
        <f t="shared" si="37"/>
        <v>7.61</v>
      </c>
      <c r="J221" s="45">
        <f t="shared" si="38"/>
        <v>232.87</v>
      </c>
      <c r="K221" s="65"/>
      <c r="L221" s="55"/>
      <c r="M221" s="56"/>
      <c r="N221" s="66"/>
      <c r="O221" s="66"/>
      <c r="P221" s="57"/>
    </row>
    <row r="222" spans="1:39" s="8" customFormat="1" ht="12" x14ac:dyDescent="0.2">
      <c r="A222" s="10" t="s">
        <v>221</v>
      </c>
      <c r="B222" s="11"/>
      <c r="C222" s="11"/>
      <c r="D222" s="12" t="s">
        <v>43</v>
      </c>
      <c r="E222" s="13"/>
      <c r="F222" s="46"/>
      <c r="G222" s="46"/>
      <c r="H222" s="46"/>
      <c r="I222" s="63"/>
      <c r="J222" s="50"/>
      <c r="K222" s="161"/>
      <c r="L222" s="26"/>
      <c r="M222" s="15"/>
      <c r="N222" s="164"/>
      <c r="O222" s="164"/>
      <c r="P222" s="17"/>
    </row>
    <row r="223" spans="1:39" s="58" customFormat="1" ht="24" x14ac:dyDescent="0.2">
      <c r="A223" s="38" t="s">
        <v>253</v>
      </c>
      <c r="B223" s="39" t="s">
        <v>24</v>
      </c>
      <c r="C223" s="39">
        <v>6077</v>
      </c>
      <c r="D223" s="40" t="s">
        <v>178</v>
      </c>
      <c r="E223" s="41" t="s">
        <v>5</v>
      </c>
      <c r="F223" s="45">
        <v>255.57089999999999</v>
      </c>
      <c r="G223" s="45">
        <v>17.45</v>
      </c>
      <c r="H223" s="45">
        <v>20.21</v>
      </c>
      <c r="I223" s="42">
        <f>ROUND(H223*(1+$E$168),2)</f>
        <v>24.45</v>
      </c>
      <c r="J223" s="45">
        <f t="shared" ref="J223:J226" si="39">ROUND(F223*I223,2)</f>
        <v>6248.71</v>
      </c>
      <c r="K223" s="161"/>
      <c r="L223" s="26"/>
      <c r="M223" s="15"/>
      <c r="N223" s="164"/>
      <c r="O223" s="164"/>
      <c r="P223" s="17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spans="1:39" s="8" customFormat="1" ht="12" x14ac:dyDescent="0.2">
      <c r="A224" s="38" t="s">
        <v>254</v>
      </c>
      <c r="B224" s="39" t="s">
        <v>24</v>
      </c>
      <c r="C224" s="39">
        <v>93368</v>
      </c>
      <c r="D224" s="40" t="s">
        <v>146</v>
      </c>
      <c r="E224" s="41" t="s">
        <v>5</v>
      </c>
      <c r="F224" s="45">
        <f>F223</f>
        <v>255.57089999999999</v>
      </c>
      <c r="G224" s="45">
        <v>11.47</v>
      </c>
      <c r="H224" s="45">
        <v>11.21</v>
      </c>
      <c r="I224" s="42">
        <f>ROUND(H224*(1+$E$168),2)</f>
        <v>13.56</v>
      </c>
      <c r="J224" s="45">
        <f t="shared" si="39"/>
        <v>3465.54</v>
      </c>
      <c r="K224" s="161"/>
      <c r="L224" s="26"/>
      <c r="M224" s="15"/>
      <c r="N224" s="164"/>
      <c r="O224" s="164"/>
      <c r="P224" s="17"/>
    </row>
    <row r="225" spans="1:39" s="8" customFormat="1" ht="12" x14ac:dyDescent="0.2">
      <c r="A225" s="38" t="s">
        <v>386</v>
      </c>
      <c r="B225" s="39" t="s">
        <v>24</v>
      </c>
      <c r="C225" s="39">
        <v>72844</v>
      </c>
      <c r="D225" s="40" t="s">
        <v>175</v>
      </c>
      <c r="E225" s="41" t="s">
        <v>8</v>
      </c>
      <c r="F225" s="45">
        <f>F224*1.84</f>
        <v>470.25045599999999</v>
      </c>
      <c r="G225" s="45">
        <v>0.66</v>
      </c>
      <c r="H225" s="45">
        <v>0.7</v>
      </c>
      <c r="I225" s="42">
        <f>ROUND(H225*(1+$E$168),2)</f>
        <v>0.85</v>
      </c>
      <c r="J225" s="45">
        <f t="shared" si="39"/>
        <v>399.71</v>
      </c>
      <c r="K225" s="161"/>
      <c r="L225" s="26"/>
      <c r="M225" s="15"/>
      <c r="N225" s="164"/>
      <c r="O225" s="164"/>
      <c r="P225" s="17"/>
    </row>
    <row r="226" spans="1:39" s="58" customFormat="1" ht="12" x14ac:dyDescent="0.2">
      <c r="A226" s="38" t="s">
        <v>387</v>
      </c>
      <c r="B226" s="39" t="s">
        <v>23</v>
      </c>
      <c r="C226" s="39">
        <v>5914389</v>
      </c>
      <c r="D226" s="40" t="s">
        <v>145</v>
      </c>
      <c r="E226" s="41" t="s">
        <v>35</v>
      </c>
      <c r="F226" s="45">
        <f>ROUND(F225*9,2)</f>
        <v>4232.25</v>
      </c>
      <c r="G226" s="45">
        <v>0.4</v>
      </c>
      <c r="H226" s="45">
        <v>0.47</v>
      </c>
      <c r="I226" s="42">
        <f>ROUND(H226*(1+$E$168),2)</f>
        <v>0.56999999999999995</v>
      </c>
      <c r="J226" s="45">
        <f t="shared" si="39"/>
        <v>2412.38</v>
      </c>
      <c r="K226" s="161"/>
      <c r="L226" s="26"/>
      <c r="M226" s="15"/>
      <c r="N226" s="164"/>
      <c r="O226" s="164"/>
      <c r="P226" s="17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</row>
    <row r="227" spans="1:39" s="8" customFormat="1" ht="12" x14ac:dyDescent="0.2">
      <c r="A227" s="10" t="s">
        <v>237</v>
      </c>
      <c r="B227" s="11"/>
      <c r="C227" s="11"/>
      <c r="D227" s="12" t="s">
        <v>51</v>
      </c>
      <c r="E227" s="13"/>
      <c r="F227" s="46"/>
      <c r="G227" s="46"/>
      <c r="H227" s="46"/>
      <c r="I227" s="63"/>
      <c r="J227" s="50"/>
      <c r="K227" s="161"/>
      <c r="L227" s="26"/>
      <c r="M227" s="15"/>
      <c r="N227" s="164"/>
      <c r="O227" s="164"/>
      <c r="P227" s="17"/>
    </row>
    <row r="228" spans="1:39" s="8" customFormat="1" ht="12" x14ac:dyDescent="0.2">
      <c r="A228" s="38" t="s">
        <v>255</v>
      </c>
      <c r="B228" s="39" t="s">
        <v>24</v>
      </c>
      <c r="C228" s="52" t="s">
        <v>435</v>
      </c>
      <c r="D228" s="40" t="s">
        <v>436</v>
      </c>
      <c r="E228" s="41" t="s">
        <v>5</v>
      </c>
      <c r="F228" s="45">
        <v>30.428149999999999</v>
      </c>
      <c r="G228" s="45">
        <v>13.35</v>
      </c>
      <c r="H228" s="45">
        <v>65.56</v>
      </c>
      <c r="I228" s="42">
        <f>ROUND(H228*(1+$E$168),2)</f>
        <v>79.31</v>
      </c>
      <c r="J228" s="45">
        <f t="shared" ref="J228:J231" si="40">ROUND(F228*I228,2)</f>
        <v>2413.2600000000002</v>
      </c>
      <c r="K228" s="161"/>
      <c r="L228" s="26"/>
      <c r="M228" s="15"/>
      <c r="N228" s="164"/>
      <c r="O228" s="164"/>
      <c r="P228" s="17"/>
    </row>
    <row r="229" spans="1:39" s="8" customFormat="1" ht="24" x14ac:dyDescent="0.2">
      <c r="A229" s="38" t="s">
        <v>256</v>
      </c>
      <c r="B229" s="39" t="s">
        <v>23</v>
      </c>
      <c r="C229" s="52" t="s">
        <v>471</v>
      </c>
      <c r="D229" s="40" t="s">
        <v>434</v>
      </c>
      <c r="E229" s="41" t="s">
        <v>9</v>
      </c>
      <c r="F229" s="45">
        <f>25+16</f>
        <v>41</v>
      </c>
      <c r="G229" s="45">
        <v>89</v>
      </c>
      <c r="H229" s="42">
        <v>59.6</v>
      </c>
      <c r="I229" s="42">
        <f>ROUND(H229*(1+$E$168),2)</f>
        <v>72.099999999999994</v>
      </c>
      <c r="J229" s="45">
        <f t="shared" si="40"/>
        <v>2956.1</v>
      </c>
      <c r="K229" s="161"/>
      <c r="L229" s="26"/>
      <c r="M229" s="15"/>
      <c r="N229" s="164"/>
      <c r="O229" s="164"/>
      <c r="P229" s="17"/>
    </row>
    <row r="230" spans="1:39" s="58" customFormat="1" ht="12" x14ac:dyDescent="0.2">
      <c r="A230" s="38" t="s">
        <v>257</v>
      </c>
      <c r="B230" s="39" t="s">
        <v>24</v>
      </c>
      <c r="C230" s="39">
        <v>72844</v>
      </c>
      <c r="D230" s="40" t="s">
        <v>175</v>
      </c>
      <c r="E230" s="41" t="s">
        <v>8</v>
      </c>
      <c r="F230" s="45">
        <f>ROUND(F228*1.55,2)</f>
        <v>47.16</v>
      </c>
      <c r="G230" s="45">
        <v>0.66</v>
      </c>
      <c r="H230" s="45">
        <v>0.7</v>
      </c>
      <c r="I230" s="42">
        <f>ROUND(H230*(1+$E$168),2)</f>
        <v>0.85</v>
      </c>
      <c r="J230" s="45">
        <f t="shared" si="40"/>
        <v>40.090000000000003</v>
      </c>
      <c r="K230" s="161"/>
      <c r="L230" s="26"/>
      <c r="M230" s="15"/>
      <c r="N230" s="164"/>
      <c r="O230" s="164"/>
      <c r="P230" s="17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spans="1:39" s="58" customFormat="1" ht="12" x14ac:dyDescent="0.2">
      <c r="A231" s="38" t="s">
        <v>258</v>
      </c>
      <c r="B231" s="39" t="s">
        <v>23</v>
      </c>
      <c r="C231" s="39">
        <v>5914389</v>
      </c>
      <c r="D231" s="40" t="s">
        <v>145</v>
      </c>
      <c r="E231" s="41" t="s">
        <v>35</v>
      </c>
      <c r="F231" s="45">
        <f>ROUND(F230*9,2)</f>
        <v>424.44</v>
      </c>
      <c r="G231" s="45">
        <v>0.4</v>
      </c>
      <c r="H231" s="45">
        <v>0.47</v>
      </c>
      <c r="I231" s="42">
        <f>ROUND(H231*(1+$E$168),2)</f>
        <v>0.56999999999999995</v>
      </c>
      <c r="J231" s="45">
        <f t="shared" si="40"/>
        <v>241.93</v>
      </c>
      <c r="K231" s="161"/>
      <c r="L231" s="474"/>
      <c r="M231" s="15"/>
      <c r="N231" s="164"/>
      <c r="O231" s="164"/>
      <c r="P231" s="17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</row>
    <row r="232" spans="1:39" s="32" customFormat="1" ht="12" x14ac:dyDescent="0.2">
      <c r="A232" s="27"/>
      <c r="B232" s="28"/>
      <c r="C232" s="28"/>
      <c r="D232" s="29" t="s">
        <v>172</v>
      </c>
      <c r="E232" s="27"/>
      <c r="F232" s="48"/>
      <c r="G232" s="48"/>
      <c r="H232" s="48"/>
      <c r="I232" s="63"/>
      <c r="J232" s="49">
        <f>SUM(J191:J231)</f>
        <v>105209.84</v>
      </c>
      <c r="K232" s="174"/>
      <c r="L232" s="475"/>
      <c r="M232" s="15"/>
      <c r="N232" s="9"/>
      <c r="O232" s="9"/>
      <c r="P232" s="9"/>
      <c r="Q232" s="8"/>
      <c r="R232" s="26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</row>
    <row r="233" spans="1:39" s="8" customFormat="1" ht="12" x14ac:dyDescent="0.2">
      <c r="A233" s="10"/>
      <c r="B233" s="11"/>
      <c r="C233" s="11"/>
      <c r="D233" s="12"/>
      <c r="E233" s="13"/>
      <c r="F233" s="46"/>
      <c r="G233" s="46"/>
      <c r="H233" s="46"/>
      <c r="I233" s="63"/>
      <c r="J233" s="46"/>
      <c r="K233" s="161"/>
      <c r="L233" s="474"/>
      <c r="M233" s="15"/>
      <c r="N233" s="9"/>
      <c r="O233" s="9"/>
      <c r="P233" s="9"/>
    </row>
    <row r="234" spans="1:39" s="8" customFormat="1" ht="12" x14ac:dyDescent="0.2">
      <c r="A234" s="25">
        <v>3</v>
      </c>
      <c r="B234" s="109"/>
      <c r="C234" s="109"/>
      <c r="D234" s="110" t="s">
        <v>72</v>
      </c>
      <c r="E234" s="112"/>
      <c r="F234" s="169"/>
      <c r="G234" s="169"/>
      <c r="H234" s="169"/>
      <c r="I234" s="63"/>
      <c r="J234" s="169"/>
      <c r="K234" s="161"/>
      <c r="L234" s="474"/>
      <c r="M234" s="15"/>
      <c r="N234" s="9"/>
      <c r="O234" s="9"/>
      <c r="P234" s="9"/>
    </row>
    <row r="235" spans="1:39" s="8" customFormat="1" ht="12" hidden="1" x14ac:dyDescent="0.2">
      <c r="A235" s="38" t="s">
        <v>62</v>
      </c>
      <c r="B235" s="39" t="s">
        <v>23</v>
      </c>
      <c r="C235" s="39" t="s">
        <v>13</v>
      </c>
      <c r="D235" s="40" t="s">
        <v>73</v>
      </c>
      <c r="E235" s="41" t="s">
        <v>6</v>
      </c>
      <c r="F235" s="45"/>
      <c r="G235" s="45">
        <v>0.73</v>
      </c>
      <c r="H235" s="45">
        <v>0.73</v>
      </c>
      <c r="I235" s="42">
        <f t="shared" ref="I235:I248" si="41">ROUND(H235*(1+$E$168),2)</f>
        <v>0.88</v>
      </c>
      <c r="J235" s="45">
        <f t="shared" ref="J235:J248" si="42">ROUND(F235*I235,2)</f>
        <v>0</v>
      </c>
      <c r="K235" s="161"/>
      <c r="L235" s="474"/>
      <c r="M235" s="15"/>
      <c r="N235" s="164"/>
      <c r="O235" s="164"/>
      <c r="P235" s="17"/>
    </row>
    <row r="236" spans="1:39" s="8" customFormat="1" ht="12" hidden="1" x14ac:dyDescent="0.2">
      <c r="A236" s="38" t="s">
        <v>63</v>
      </c>
      <c r="B236" s="39" t="s">
        <v>24</v>
      </c>
      <c r="C236" s="39">
        <v>6077</v>
      </c>
      <c r="D236" s="40" t="s">
        <v>179</v>
      </c>
      <c r="E236" s="41" t="s">
        <v>5</v>
      </c>
      <c r="F236" s="45"/>
      <c r="G236" s="45">
        <v>17.45</v>
      </c>
      <c r="H236" s="45">
        <v>17.45</v>
      </c>
      <c r="I236" s="42">
        <f t="shared" si="41"/>
        <v>21.11</v>
      </c>
      <c r="J236" s="45">
        <f t="shared" si="42"/>
        <v>0</v>
      </c>
      <c r="K236" s="161"/>
      <c r="L236" s="474"/>
      <c r="M236" s="15"/>
      <c r="N236" s="164"/>
      <c r="O236" s="164"/>
      <c r="P236" s="17"/>
    </row>
    <row r="237" spans="1:39" s="8" customFormat="1" ht="24" hidden="1" x14ac:dyDescent="0.2">
      <c r="A237" s="38" t="s">
        <v>64</v>
      </c>
      <c r="B237" s="39" t="s">
        <v>24</v>
      </c>
      <c r="C237" s="39">
        <v>41722</v>
      </c>
      <c r="D237" s="40" t="s">
        <v>75</v>
      </c>
      <c r="E237" s="41" t="s">
        <v>5</v>
      </c>
      <c r="F237" s="45"/>
      <c r="G237" s="45">
        <v>4.45</v>
      </c>
      <c r="H237" s="45">
        <v>4.45</v>
      </c>
      <c r="I237" s="42">
        <f t="shared" si="41"/>
        <v>5.38</v>
      </c>
      <c r="J237" s="45">
        <f t="shared" si="42"/>
        <v>0</v>
      </c>
      <c r="K237" s="161"/>
      <c r="L237" s="474"/>
      <c r="M237" s="15"/>
      <c r="N237" s="164"/>
      <c r="O237" s="164"/>
      <c r="P237" s="17"/>
    </row>
    <row r="238" spans="1:39" s="8" customFormat="1" ht="12" hidden="1" x14ac:dyDescent="0.2">
      <c r="A238" s="38" t="s">
        <v>65</v>
      </c>
      <c r="B238" s="39" t="s">
        <v>24</v>
      </c>
      <c r="C238" s="39" t="s">
        <v>0</v>
      </c>
      <c r="D238" s="40" t="s">
        <v>147</v>
      </c>
      <c r="E238" s="41" t="s">
        <v>5</v>
      </c>
      <c r="F238" s="45"/>
      <c r="G238" s="45">
        <v>114.33</v>
      </c>
      <c r="H238" s="45">
        <v>114.33</v>
      </c>
      <c r="I238" s="42">
        <f t="shared" si="41"/>
        <v>138.31</v>
      </c>
      <c r="J238" s="45">
        <f t="shared" si="42"/>
        <v>0</v>
      </c>
      <c r="K238" s="161"/>
      <c r="L238" s="474"/>
      <c r="M238" s="15"/>
      <c r="N238" s="164"/>
      <c r="O238" s="164"/>
      <c r="P238" s="17"/>
    </row>
    <row r="239" spans="1:39" s="8" customFormat="1" ht="12" x14ac:dyDescent="0.2">
      <c r="A239" s="38" t="s">
        <v>36</v>
      </c>
      <c r="B239" s="39" t="s">
        <v>23</v>
      </c>
      <c r="C239" s="39">
        <v>4011276</v>
      </c>
      <c r="D239" s="40" t="s">
        <v>148</v>
      </c>
      <c r="E239" s="41" t="s">
        <v>5</v>
      </c>
      <c r="F239" s="45">
        <f>F241*0.16</f>
        <v>236.24480000000003</v>
      </c>
      <c r="G239" s="45">
        <v>99.97</v>
      </c>
      <c r="H239" s="45">
        <v>97.1</v>
      </c>
      <c r="I239" s="42">
        <f t="shared" si="41"/>
        <v>117.46</v>
      </c>
      <c r="J239" s="45">
        <f t="shared" si="42"/>
        <v>27749.31</v>
      </c>
      <c r="K239" s="258"/>
      <c r="L239" s="454"/>
      <c r="M239" s="15"/>
      <c r="N239" s="164"/>
      <c r="O239" s="164"/>
      <c r="P239" s="17"/>
    </row>
    <row r="240" spans="1:39" s="8" customFormat="1" ht="12" x14ac:dyDescent="0.2">
      <c r="A240" s="38" t="s">
        <v>37</v>
      </c>
      <c r="B240" s="39" t="s">
        <v>23</v>
      </c>
      <c r="C240" s="39">
        <v>4011282</v>
      </c>
      <c r="D240" s="81" t="s">
        <v>271</v>
      </c>
      <c r="E240" s="41" t="s">
        <v>239</v>
      </c>
      <c r="F240" s="45">
        <f>F241*0.25</f>
        <v>369.13250000000005</v>
      </c>
      <c r="G240" s="45"/>
      <c r="H240" s="45">
        <v>79.67</v>
      </c>
      <c r="I240" s="42">
        <f t="shared" si="41"/>
        <v>96.38</v>
      </c>
      <c r="J240" s="45">
        <f t="shared" si="42"/>
        <v>35576.99</v>
      </c>
      <c r="K240" s="258"/>
      <c r="L240" s="454"/>
      <c r="M240" s="15"/>
      <c r="N240" s="164"/>
      <c r="O240" s="164"/>
      <c r="P240" s="17"/>
    </row>
    <row r="241" spans="1:39" s="8" customFormat="1" ht="12" x14ac:dyDescent="0.2">
      <c r="A241" s="38" t="s">
        <v>41</v>
      </c>
      <c r="B241" s="39" t="s">
        <v>24</v>
      </c>
      <c r="C241" s="39">
        <v>96401</v>
      </c>
      <c r="D241" s="40" t="s">
        <v>149</v>
      </c>
      <c r="E241" s="41" t="s">
        <v>6</v>
      </c>
      <c r="F241" s="45">
        <f>7.47+11.66+563.58+279.78+56.76+67.26+32.57+11.66+437.66+8.13</f>
        <v>1476.5300000000002</v>
      </c>
      <c r="G241" s="45">
        <v>4.8499999999999996</v>
      </c>
      <c r="H241" s="45">
        <v>4.12</v>
      </c>
      <c r="I241" s="42">
        <f t="shared" si="41"/>
        <v>4.9800000000000004</v>
      </c>
      <c r="J241" s="45">
        <f t="shared" si="42"/>
        <v>7353.12</v>
      </c>
      <c r="K241" s="258"/>
      <c r="L241" s="454"/>
      <c r="M241" s="15"/>
      <c r="N241" s="164"/>
      <c r="O241" s="164"/>
      <c r="P241" s="17"/>
    </row>
    <row r="242" spans="1:39" s="58" customFormat="1" ht="12" x14ac:dyDescent="0.2">
      <c r="A242" s="38" t="s">
        <v>42</v>
      </c>
      <c r="B242" s="39" t="s">
        <v>24</v>
      </c>
      <c r="C242" s="39">
        <v>72943</v>
      </c>
      <c r="D242" s="40" t="s">
        <v>150</v>
      </c>
      <c r="E242" s="41" t="s">
        <v>6</v>
      </c>
      <c r="F242" s="45">
        <f>ROUND(F241*2,2)</f>
        <v>2953.06</v>
      </c>
      <c r="G242" s="45">
        <v>1.39</v>
      </c>
      <c r="H242" s="45">
        <v>1.3</v>
      </c>
      <c r="I242" s="42">
        <f t="shared" si="41"/>
        <v>1.57</v>
      </c>
      <c r="J242" s="45">
        <f t="shared" si="42"/>
        <v>4636.3</v>
      </c>
      <c r="K242" s="258"/>
      <c r="L242" s="454"/>
      <c r="M242" s="15"/>
      <c r="N242" s="164"/>
      <c r="O242" s="164"/>
      <c r="P242" s="17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spans="1:39" s="8" customFormat="1" ht="12" x14ac:dyDescent="0.2">
      <c r="A243" s="38" t="s">
        <v>44</v>
      </c>
      <c r="B243" s="39" t="s">
        <v>24</v>
      </c>
      <c r="C243" s="39">
        <v>95995</v>
      </c>
      <c r="D243" s="40" t="s">
        <v>151</v>
      </c>
      <c r="E243" s="41" t="s">
        <v>239</v>
      </c>
      <c r="F243" s="45">
        <f>ROUND(F241*0.1,2)</f>
        <v>147.65</v>
      </c>
      <c r="G243" s="45">
        <v>219.28</v>
      </c>
      <c r="H243" s="45">
        <v>690.21</v>
      </c>
      <c r="I243" s="42">
        <f t="shared" si="41"/>
        <v>834.95</v>
      </c>
      <c r="J243" s="45">
        <f t="shared" si="42"/>
        <v>123280.37</v>
      </c>
      <c r="K243" s="258"/>
      <c r="L243" s="454"/>
      <c r="M243" s="15"/>
      <c r="N243" s="164"/>
      <c r="O243" s="164"/>
      <c r="P243" s="17"/>
    </row>
    <row r="244" spans="1:39" s="8" customFormat="1" ht="12" x14ac:dyDescent="0.2">
      <c r="A244" s="38" t="s">
        <v>50</v>
      </c>
      <c r="B244" s="39" t="s">
        <v>24</v>
      </c>
      <c r="C244" s="39">
        <v>72846</v>
      </c>
      <c r="D244" s="44" t="s">
        <v>152</v>
      </c>
      <c r="E244" s="41" t="s">
        <v>8</v>
      </c>
      <c r="F244" s="45">
        <f>ROUND(2.425*F243,2)</f>
        <v>358.05</v>
      </c>
      <c r="G244" s="45">
        <v>3.25</v>
      </c>
      <c r="H244" s="45">
        <v>3.5</v>
      </c>
      <c r="I244" s="42">
        <f t="shared" si="41"/>
        <v>4.2300000000000004</v>
      </c>
      <c r="J244" s="45">
        <f t="shared" si="42"/>
        <v>1514.55</v>
      </c>
      <c r="K244" s="258"/>
      <c r="L244" s="454"/>
      <c r="M244" s="15"/>
      <c r="N244" s="164"/>
      <c r="O244" s="164"/>
      <c r="P244" s="17"/>
    </row>
    <row r="245" spans="1:39" s="58" customFormat="1" ht="12" x14ac:dyDescent="0.2">
      <c r="A245" s="38" t="s">
        <v>52</v>
      </c>
      <c r="B245" s="39" t="s">
        <v>24</v>
      </c>
      <c r="C245" s="39">
        <v>72844</v>
      </c>
      <c r="D245" s="40" t="s">
        <v>175</v>
      </c>
      <c r="E245" s="41" t="s">
        <v>8</v>
      </c>
      <c r="F245" s="45">
        <f>ROUND(((F239*2.4)+(F240*2.25)),2)</f>
        <v>1397.54</v>
      </c>
      <c r="G245" s="45">
        <v>0.66</v>
      </c>
      <c r="H245" s="45">
        <v>0.7</v>
      </c>
      <c r="I245" s="42">
        <f t="shared" si="41"/>
        <v>0.85</v>
      </c>
      <c r="J245" s="45">
        <f t="shared" si="42"/>
        <v>1187.9100000000001</v>
      </c>
      <c r="K245" s="258"/>
      <c r="L245" s="454"/>
      <c r="M245" s="15"/>
      <c r="N245" s="164"/>
      <c r="O245" s="164"/>
      <c r="P245" s="17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1:39" s="58" customFormat="1" ht="12" x14ac:dyDescent="0.2">
      <c r="A246" s="38" t="s">
        <v>128</v>
      </c>
      <c r="B246" s="39" t="s">
        <v>23</v>
      </c>
      <c r="C246" s="39">
        <v>5914389</v>
      </c>
      <c r="D246" s="40" t="s">
        <v>145</v>
      </c>
      <c r="E246" s="41" t="s">
        <v>35</v>
      </c>
      <c r="F246" s="45">
        <f>ROUND((F245*9)+(F248*4*2.425),2)</f>
        <v>12818.06</v>
      </c>
      <c r="G246" s="45">
        <v>0.4</v>
      </c>
      <c r="H246" s="45">
        <v>0.47</v>
      </c>
      <c r="I246" s="42">
        <f t="shared" si="41"/>
        <v>0.56999999999999995</v>
      </c>
      <c r="J246" s="45">
        <f t="shared" si="42"/>
        <v>7306.29</v>
      </c>
      <c r="K246" s="258"/>
      <c r="L246" s="454"/>
      <c r="M246" s="15"/>
      <c r="N246" s="164"/>
      <c r="O246" s="164"/>
      <c r="P246" s="17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1:39" s="58" customFormat="1" ht="12" x14ac:dyDescent="0.2">
      <c r="A247" s="38" t="s">
        <v>129</v>
      </c>
      <c r="B247" s="39" t="s">
        <v>24</v>
      </c>
      <c r="C247" s="39">
        <v>93177</v>
      </c>
      <c r="D247" s="40" t="s">
        <v>153</v>
      </c>
      <c r="E247" s="41" t="s">
        <v>35</v>
      </c>
      <c r="F247" s="45">
        <f>ROUND(F244*19,2)</f>
        <v>6802.95</v>
      </c>
      <c r="G247" s="45">
        <v>211.73147450201117</v>
      </c>
      <c r="H247" s="45">
        <v>1.44</v>
      </c>
      <c r="I247" s="42">
        <f t="shared" si="41"/>
        <v>1.74</v>
      </c>
      <c r="J247" s="45">
        <f>ROUND((I247*F247),2)</f>
        <v>11837.13</v>
      </c>
      <c r="K247" s="258"/>
      <c r="L247" s="454"/>
      <c r="M247" s="15"/>
      <c r="N247" s="164"/>
      <c r="O247" s="164"/>
      <c r="P247" s="17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48" spans="1:39" s="58" customFormat="1" ht="12" x14ac:dyDescent="0.2">
      <c r="A248" s="38" t="s">
        <v>131</v>
      </c>
      <c r="B248" s="39" t="s">
        <v>23</v>
      </c>
      <c r="C248" s="39">
        <v>4915667</v>
      </c>
      <c r="D248" s="40" t="s">
        <v>238</v>
      </c>
      <c r="E248" s="41" t="s">
        <v>239</v>
      </c>
      <c r="F248" s="65">
        <f>(11.66+11.66+5.92+211.09+7.3)*0.1</f>
        <v>24.763000000000005</v>
      </c>
      <c r="G248" s="45">
        <v>211.73147450201117</v>
      </c>
      <c r="H248" s="45">
        <v>10.19</v>
      </c>
      <c r="I248" s="42">
        <f t="shared" si="41"/>
        <v>12.33</v>
      </c>
      <c r="J248" s="45">
        <f t="shared" si="42"/>
        <v>305.33</v>
      </c>
      <c r="K248" s="258"/>
      <c r="L248" s="454"/>
      <c r="M248" s="56"/>
      <c r="N248" s="66"/>
      <c r="O248" s="66"/>
      <c r="P248" s="57"/>
    </row>
    <row r="249" spans="1:39" s="32" customFormat="1" ht="12" x14ac:dyDescent="0.2">
      <c r="A249" s="27"/>
      <c r="B249" s="28"/>
      <c r="C249" s="28"/>
      <c r="D249" s="29" t="s">
        <v>172</v>
      </c>
      <c r="E249" s="27"/>
      <c r="F249" s="48"/>
      <c r="G249" s="48"/>
      <c r="H249" s="48"/>
      <c r="I249" s="63"/>
      <c r="J249" s="49">
        <f>SUM(J235:J248)</f>
        <v>220747.3</v>
      </c>
      <c r="K249" s="174"/>
      <c r="L249" s="475"/>
      <c r="M249" s="15"/>
      <c r="N249" s="9"/>
      <c r="O249" s="9"/>
      <c r="P249" s="9"/>
      <c r="Q249" s="8"/>
      <c r="R249" s="26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s="8" customFormat="1" ht="12" x14ac:dyDescent="0.2">
      <c r="A250" s="10"/>
      <c r="B250" s="11"/>
      <c r="C250" s="11"/>
      <c r="D250" s="12"/>
      <c r="E250" s="13"/>
      <c r="F250" s="46"/>
      <c r="G250" s="46"/>
      <c r="H250" s="46"/>
      <c r="I250" s="63"/>
      <c r="J250" s="46"/>
      <c r="K250" s="161"/>
      <c r="L250" s="474"/>
      <c r="M250" s="15"/>
      <c r="N250" s="9"/>
      <c r="O250" s="9"/>
      <c r="P250" s="9"/>
    </row>
    <row r="251" spans="1:39" s="8" customFormat="1" ht="12" x14ac:dyDescent="0.2">
      <c r="A251" s="4">
        <v>4</v>
      </c>
      <c r="B251" s="5"/>
      <c r="C251" s="5"/>
      <c r="D251" s="6" t="s">
        <v>154</v>
      </c>
      <c r="E251" s="267"/>
      <c r="F251" s="47"/>
      <c r="G251" s="47"/>
      <c r="H251" s="47"/>
      <c r="I251" s="63"/>
      <c r="J251" s="47"/>
      <c r="K251" s="161"/>
      <c r="L251" s="474"/>
      <c r="M251" s="15"/>
      <c r="N251" s="9"/>
      <c r="O251" s="9"/>
      <c r="P251" s="9"/>
    </row>
    <row r="252" spans="1:39" s="8" customFormat="1" ht="12" x14ac:dyDescent="0.2">
      <c r="A252" s="53" t="s">
        <v>53</v>
      </c>
      <c r="B252" s="60"/>
      <c r="C252" s="60"/>
      <c r="D252" s="111" t="s">
        <v>130</v>
      </c>
      <c r="E252" s="62"/>
      <c r="F252" s="173"/>
      <c r="G252" s="173"/>
      <c r="H252" s="173"/>
      <c r="I252" s="63"/>
      <c r="J252" s="173"/>
      <c r="K252" s="161"/>
      <c r="L252" s="474"/>
      <c r="M252" s="15"/>
      <c r="N252" s="164"/>
      <c r="O252" s="164"/>
      <c r="P252" s="17"/>
    </row>
    <row r="253" spans="1:39" s="58" customFormat="1" ht="24" x14ac:dyDescent="0.2">
      <c r="A253" s="38" t="s">
        <v>230</v>
      </c>
      <c r="B253" s="39" t="s">
        <v>24</v>
      </c>
      <c r="C253" s="39">
        <v>94273</v>
      </c>
      <c r="D253" s="40" t="s">
        <v>177</v>
      </c>
      <c r="E253" s="41" t="s">
        <v>9</v>
      </c>
      <c r="F253" s="45">
        <v>250</v>
      </c>
      <c r="G253" s="45">
        <v>30.9</v>
      </c>
      <c r="H253" s="45">
        <v>33.1</v>
      </c>
      <c r="I253" s="42">
        <f>ROUND(H253*(1+$E$168),2)</f>
        <v>40.04</v>
      </c>
      <c r="J253" s="45">
        <f t="shared" ref="J253:J254" si="43">ROUND(F253*I253,2)</f>
        <v>10010</v>
      </c>
      <c r="K253" s="161"/>
      <c r="L253" s="474"/>
      <c r="M253" s="15"/>
      <c r="N253" s="164"/>
      <c r="O253" s="164"/>
      <c r="P253" s="17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s="58" customFormat="1" ht="24" x14ac:dyDescent="0.2">
      <c r="A254" s="38" t="s">
        <v>231</v>
      </c>
      <c r="B254" s="39"/>
      <c r="C254" s="39" t="s">
        <v>100</v>
      </c>
      <c r="D254" s="40" t="s">
        <v>272</v>
      </c>
      <c r="E254" s="41" t="s">
        <v>9</v>
      </c>
      <c r="F254" s="45">
        <v>201</v>
      </c>
      <c r="G254" s="45">
        <v>30.9</v>
      </c>
      <c r="H254" s="45">
        <v>8.83</v>
      </c>
      <c r="I254" s="42">
        <f>ROUND(H254*(1+$E$168),2)</f>
        <v>10.68</v>
      </c>
      <c r="J254" s="45">
        <f t="shared" si="43"/>
        <v>2146.6799999999998</v>
      </c>
      <c r="K254" s="65"/>
      <c r="L254" s="476"/>
      <c r="M254" s="56"/>
      <c r="N254" s="66"/>
      <c r="O254" s="66"/>
      <c r="P254" s="57"/>
    </row>
    <row r="255" spans="1:39" s="8" customFormat="1" ht="12" x14ac:dyDescent="0.2">
      <c r="A255" s="10" t="s">
        <v>54</v>
      </c>
      <c r="B255" s="11"/>
      <c r="C255" s="11"/>
      <c r="D255" s="12" t="s">
        <v>78</v>
      </c>
      <c r="E255" s="13"/>
      <c r="F255" s="46"/>
      <c r="G255" s="46"/>
      <c r="H255" s="46"/>
      <c r="I255" s="63"/>
      <c r="J255" s="50"/>
      <c r="K255" s="161"/>
      <c r="L255" s="474"/>
      <c r="M255" s="15"/>
      <c r="N255" s="164"/>
      <c r="O255" s="164"/>
      <c r="P255" s="17"/>
    </row>
    <row r="256" spans="1:39" s="8" customFormat="1" ht="12" x14ac:dyDescent="0.2">
      <c r="A256" s="10" t="s">
        <v>232</v>
      </c>
      <c r="B256" s="11"/>
      <c r="C256" s="11"/>
      <c r="D256" s="12" t="s">
        <v>80</v>
      </c>
      <c r="E256" s="13"/>
      <c r="F256" s="46"/>
      <c r="G256" s="46"/>
      <c r="H256" s="46"/>
      <c r="I256" s="63"/>
      <c r="J256" s="50"/>
      <c r="K256" s="161"/>
      <c r="L256" s="474"/>
      <c r="M256" s="15"/>
      <c r="N256" s="164"/>
      <c r="O256" s="164"/>
      <c r="P256" s="17"/>
    </row>
    <row r="257" spans="1:39" s="8" customFormat="1" ht="12" x14ac:dyDescent="0.2">
      <c r="A257" s="38" t="s">
        <v>260</v>
      </c>
      <c r="B257" s="39" t="s">
        <v>23</v>
      </c>
      <c r="C257" s="39">
        <v>2003849</v>
      </c>
      <c r="D257" s="40" t="s">
        <v>213</v>
      </c>
      <c r="E257" s="41" t="s">
        <v>5</v>
      </c>
      <c r="F257" s="45">
        <f>ROUND((7.33+139.79+182.57+13.54+188.84)*0.05,2)</f>
        <v>26.6</v>
      </c>
      <c r="G257" s="45">
        <v>91.67</v>
      </c>
      <c r="H257" s="45">
        <v>66.44</v>
      </c>
      <c r="I257" s="42">
        <f>ROUND(H257*(1+$E$168),2)</f>
        <v>80.37</v>
      </c>
      <c r="J257" s="45">
        <f t="shared" ref="J257:J264" si="44">ROUND(F257*I257,2)</f>
        <v>2137.84</v>
      </c>
      <c r="K257" s="161"/>
      <c r="L257" s="474"/>
      <c r="M257" s="15"/>
      <c r="N257" s="164"/>
      <c r="O257" s="164"/>
      <c r="P257" s="17"/>
    </row>
    <row r="258" spans="1:39" s="8" customFormat="1" ht="12" x14ac:dyDescent="0.2">
      <c r="A258" s="38" t="s">
        <v>261</v>
      </c>
      <c r="B258" s="39" t="s">
        <v>24</v>
      </c>
      <c r="C258" s="39">
        <v>72844</v>
      </c>
      <c r="D258" s="40" t="s">
        <v>175</v>
      </c>
      <c r="E258" s="41" t="s">
        <v>8</v>
      </c>
      <c r="F258" s="45">
        <f>ROUND(F257*1.8,2)</f>
        <v>47.88</v>
      </c>
      <c r="G258" s="45">
        <v>0.66</v>
      </c>
      <c r="H258" s="45">
        <v>0.7</v>
      </c>
      <c r="I258" s="42">
        <f>ROUND(H258*(1+$E$168),2)</f>
        <v>0.85</v>
      </c>
      <c r="J258" s="45">
        <f t="shared" si="44"/>
        <v>40.700000000000003</v>
      </c>
      <c r="K258" s="161"/>
      <c r="L258" s="474"/>
      <c r="M258" s="15"/>
      <c r="N258" s="164"/>
      <c r="O258" s="164"/>
      <c r="P258" s="17"/>
    </row>
    <row r="259" spans="1:39" s="58" customFormat="1" ht="12" x14ac:dyDescent="0.2">
      <c r="A259" s="38" t="s">
        <v>262</v>
      </c>
      <c r="B259" s="39" t="s">
        <v>23</v>
      </c>
      <c r="C259" s="39">
        <v>5914389</v>
      </c>
      <c r="D259" s="40" t="s">
        <v>145</v>
      </c>
      <c r="E259" s="41" t="s">
        <v>35</v>
      </c>
      <c r="F259" s="45">
        <f>ROUND(F258*9,2)</f>
        <v>430.92</v>
      </c>
      <c r="G259" s="45">
        <v>0.4</v>
      </c>
      <c r="H259" s="45">
        <v>0.47</v>
      </c>
      <c r="I259" s="42">
        <f>ROUND(H259*(1+$E$168),2)</f>
        <v>0.56999999999999995</v>
      </c>
      <c r="J259" s="45">
        <f t="shared" si="44"/>
        <v>245.62</v>
      </c>
      <c r="K259" s="161"/>
      <c r="L259" s="474"/>
      <c r="M259" s="15"/>
      <c r="N259" s="164"/>
      <c r="O259" s="164"/>
      <c r="P259" s="17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s="8" customFormat="1" ht="12" x14ac:dyDescent="0.2">
      <c r="A260" s="53" t="s">
        <v>233</v>
      </c>
      <c r="B260" s="60"/>
      <c r="C260" s="60"/>
      <c r="D260" s="61" t="s">
        <v>235</v>
      </c>
      <c r="E260" s="62"/>
      <c r="F260" s="173"/>
      <c r="G260" s="173">
        <v>46.09</v>
      </c>
      <c r="H260" s="173"/>
      <c r="I260" s="63"/>
      <c r="J260" s="478"/>
      <c r="K260" s="482"/>
      <c r="L260" s="474"/>
      <c r="M260" s="15"/>
      <c r="N260" s="164"/>
      <c r="O260" s="164"/>
      <c r="P260" s="17"/>
    </row>
    <row r="261" spans="1:39" s="58" customFormat="1" ht="12" x14ac:dyDescent="0.2">
      <c r="A261" s="38" t="s">
        <v>263</v>
      </c>
      <c r="B261" s="39" t="s">
        <v>24</v>
      </c>
      <c r="C261" s="39">
        <v>94994</v>
      </c>
      <c r="D261" s="44" t="s">
        <v>273</v>
      </c>
      <c r="E261" s="41" t="s">
        <v>6</v>
      </c>
      <c r="F261" s="45">
        <f>188.84+139.79+182.57+13.54+7.33</f>
        <v>532.07000000000005</v>
      </c>
      <c r="G261" s="45">
        <v>46.09</v>
      </c>
      <c r="H261" s="45">
        <v>67.13</v>
      </c>
      <c r="I261" s="42">
        <f t="shared" ref="I261:I267" si="45">ROUND(H261*(1+$E$168),2)</f>
        <v>81.209999999999994</v>
      </c>
      <c r="J261" s="472">
        <f t="shared" ref="J261" si="46">ROUND(F261*I261,2)</f>
        <v>43209.4</v>
      </c>
      <c r="K261" s="483"/>
      <c r="L261" s="474"/>
      <c r="M261" s="15"/>
      <c r="N261" s="164"/>
      <c r="O261" s="164"/>
      <c r="P261" s="17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s="58" customFormat="1" ht="24" x14ac:dyDescent="0.2">
      <c r="A262" s="38" t="s">
        <v>264</v>
      </c>
      <c r="B262" s="39"/>
      <c r="C262" s="39" t="s">
        <v>100</v>
      </c>
      <c r="D262" s="40" t="s">
        <v>155</v>
      </c>
      <c r="E262" s="41" t="s">
        <v>6</v>
      </c>
      <c r="F262" s="45">
        <f>16.64+16.21+15.74</f>
        <v>48.59</v>
      </c>
      <c r="G262" s="45">
        <v>55.75</v>
      </c>
      <c r="H262" s="45">
        <f>COMP!E91</f>
        <v>51.944099999999999</v>
      </c>
      <c r="I262" s="42">
        <f t="shared" si="45"/>
        <v>62.84</v>
      </c>
      <c r="J262" s="472">
        <f t="shared" si="44"/>
        <v>3053.4</v>
      </c>
      <c r="K262" s="483"/>
      <c r="L262" s="476"/>
      <c r="M262" s="56"/>
      <c r="N262" s="66"/>
      <c r="O262" s="66"/>
      <c r="P262" s="57"/>
    </row>
    <row r="263" spans="1:39" s="58" customFormat="1" ht="12" x14ac:dyDescent="0.2">
      <c r="A263" s="38" t="s">
        <v>55</v>
      </c>
      <c r="B263" s="39"/>
      <c r="C263" s="39" t="s">
        <v>100</v>
      </c>
      <c r="D263" s="40" t="s">
        <v>236</v>
      </c>
      <c r="E263" s="41" t="s">
        <v>9</v>
      </c>
      <c r="F263" s="45">
        <f>ROUND(18.85+18.85+18.85+18.85,2)</f>
        <v>75.400000000000006</v>
      </c>
      <c r="G263" s="45">
        <v>10.56</v>
      </c>
      <c r="H263" s="45">
        <v>222.99</v>
      </c>
      <c r="I263" s="42">
        <f t="shared" si="45"/>
        <v>269.75</v>
      </c>
      <c r="J263" s="472">
        <f t="shared" si="44"/>
        <v>20339.150000000001</v>
      </c>
      <c r="K263" s="483"/>
      <c r="L263" s="476"/>
      <c r="M263" s="56"/>
      <c r="N263" s="66"/>
      <c r="O263" s="66"/>
      <c r="P263" s="57"/>
    </row>
    <row r="264" spans="1:39" s="58" customFormat="1" ht="12" x14ac:dyDescent="0.2">
      <c r="A264" s="38" t="s">
        <v>56</v>
      </c>
      <c r="B264" s="39" t="s">
        <v>24</v>
      </c>
      <c r="C264" s="39">
        <v>85180</v>
      </c>
      <c r="D264" s="40" t="s">
        <v>156</v>
      </c>
      <c r="E264" s="41" t="s">
        <v>6</v>
      </c>
      <c r="F264" s="45">
        <f>380.44+74.9+132.98+6.6+452.38+5.92</f>
        <v>1053.2200000000003</v>
      </c>
      <c r="G264" s="45">
        <v>10.56</v>
      </c>
      <c r="H264" s="45">
        <v>14.14</v>
      </c>
      <c r="I264" s="42">
        <f t="shared" si="45"/>
        <v>17.11</v>
      </c>
      <c r="J264" s="472">
        <f t="shared" si="44"/>
        <v>18020.59</v>
      </c>
      <c r="K264" s="483"/>
      <c r="L264" s="477"/>
      <c r="M264" s="15"/>
      <c r="N264" s="164"/>
      <c r="O264" s="164"/>
      <c r="P264" s="17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s="8" customFormat="1" ht="12" hidden="1" x14ac:dyDescent="0.2">
      <c r="A265" s="38" t="s">
        <v>44</v>
      </c>
      <c r="B265" s="11" t="s">
        <v>24</v>
      </c>
      <c r="C265" s="11">
        <v>84862</v>
      </c>
      <c r="D265" s="12" t="s">
        <v>157</v>
      </c>
      <c r="E265" s="13" t="s">
        <v>9</v>
      </c>
      <c r="F265" s="46"/>
      <c r="G265" s="46"/>
      <c r="H265" s="46"/>
      <c r="I265" s="42">
        <f t="shared" si="45"/>
        <v>0</v>
      </c>
      <c r="J265" s="479"/>
      <c r="K265" s="484"/>
      <c r="L265" s="474"/>
      <c r="M265" s="15"/>
      <c r="N265" s="164"/>
      <c r="O265" s="164"/>
      <c r="P265" s="17"/>
    </row>
    <row r="266" spans="1:39" s="8" customFormat="1" ht="12" hidden="1" x14ac:dyDescent="0.2">
      <c r="A266" s="38" t="s">
        <v>50</v>
      </c>
      <c r="B266" s="11"/>
      <c r="C266" s="11" t="s">
        <v>100</v>
      </c>
      <c r="D266" s="12" t="s">
        <v>158</v>
      </c>
      <c r="E266" s="13" t="s">
        <v>9</v>
      </c>
      <c r="F266" s="46"/>
      <c r="G266" s="46"/>
      <c r="H266" s="46"/>
      <c r="I266" s="42">
        <f t="shared" si="45"/>
        <v>0</v>
      </c>
      <c r="J266" s="479"/>
      <c r="K266" s="484"/>
      <c r="L266" s="474"/>
      <c r="M266" s="15"/>
      <c r="N266" s="164"/>
      <c r="O266" s="164"/>
      <c r="P266" s="17"/>
    </row>
    <row r="267" spans="1:39" s="8" customFormat="1" ht="12" x14ac:dyDescent="0.2">
      <c r="A267" s="38" t="s">
        <v>57</v>
      </c>
      <c r="B267" s="39" t="s">
        <v>24</v>
      </c>
      <c r="C267" s="39" t="s">
        <v>478</v>
      </c>
      <c r="D267" s="40" t="s">
        <v>159</v>
      </c>
      <c r="E267" s="41" t="s">
        <v>6</v>
      </c>
      <c r="F267" s="45">
        <f>2225.61+527.41</f>
        <v>2753.02</v>
      </c>
      <c r="G267" s="45">
        <v>2.19</v>
      </c>
      <c r="H267" s="42">
        <v>1.66</v>
      </c>
      <c r="I267" s="42">
        <f t="shared" si="45"/>
        <v>2.0099999999999998</v>
      </c>
      <c r="J267" s="472">
        <f t="shared" ref="J267" si="47">ROUND(F267*I267,2)</f>
        <v>5533.57</v>
      </c>
      <c r="K267" s="483"/>
      <c r="L267" s="474"/>
      <c r="M267" s="15"/>
      <c r="N267" s="164"/>
      <c r="O267" s="164"/>
      <c r="P267" s="17"/>
    </row>
    <row r="268" spans="1:39" s="32" customFormat="1" ht="12" x14ac:dyDescent="0.2">
      <c r="A268" s="27"/>
      <c r="B268" s="28"/>
      <c r="C268" s="28"/>
      <c r="D268" s="29" t="s">
        <v>172</v>
      </c>
      <c r="E268" s="27"/>
      <c r="F268" s="48"/>
      <c r="G268" s="48"/>
      <c r="H268" s="48"/>
      <c r="I268" s="63"/>
      <c r="J268" s="480">
        <f>SUM(J253:J267)</f>
        <v>104736.95000000001</v>
      </c>
      <c r="K268" s="485"/>
      <c r="L268" s="475"/>
      <c r="M268" s="15"/>
      <c r="N268" s="9"/>
      <c r="O268" s="9"/>
      <c r="P268" s="9"/>
      <c r="Q268" s="8"/>
      <c r="R268" s="26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s="8" customFormat="1" ht="12" x14ac:dyDescent="0.2">
      <c r="A269" s="10"/>
      <c r="B269" s="11"/>
      <c r="C269" s="11"/>
      <c r="D269" s="12"/>
      <c r="E269" s="13"/>
      <c r="F269" s="46"/>
      <c r="G269" s="46"/>
      <c r="H269" s="46"/>
      <c r="I269" s="63"/>
      <c r="J269" s="473"/>
      <c r="K269" s="482"/>
      <c r="L269" s="474"/>
      <c r="M269" s="15"/>
      <c r="N269" s="9"/>
      <c r="O269" s="9"/>
      <c r="P269" s="9"/>
    </row>
    <row r="270" spans="1:39" s="8" customFormat="1" ht="12" x14ac:dyDescent="0.2">
      <c r="A270" s="4">
        <v>5</v>
      </c>
      <c r="B270" s="5"/>
      <c r="C270" s="5"/>
      <c r="D270" s="6" t="s">
        <v>160</v>
      </c>
      <c r="E270" s="267"/>
      <c r="F270" s="47"/>
      <c r="G270" s="47"/>
      <c r="H270" s="47"/>
      <c r="I270" s="63"/>
      <c r="J270" s="481"/>
      <c r="K270" s="482"/>
      <c r="L270" s="474"/>
      <c r="M270" s="15"/>
      <c r="N270" s="9"/>
      <c r="O270" s="9"/>
      <c r="P270" s="9"/>
    </row>
    <row r="271" spans="1:39" s="8" customFormat="1" ht="12" x14ac:dyDescent="0.2">
      <c r="A271" s="10" t="s">
        <v>62</v>
      </c>
      <c r="B271" s="11"/>
      <c r="C271" s="11"/>
      <c r="D271" s="12" t="s">
        <v>85</v>
      </c>
      <c r="E271" s="13"/>
      <c r="F271" s="46"/>
      <c r="G271" s="46"/>
      <c r="H271" s="46"/>
      <c r="I271" s="63"/>
      <c r="J271" s="46"/>
      <c r="K271" s="161"/>
      <c r="L271" s="474"/>
      <c r="M271" s="15"/>
      <c r="N271" s="164"/>
      <c r="O271" s="164"/>
      <c r="P271" s="17"/>
    </row>
    <row r="272" spans="1:39" s="8" customFormat="1" ht="24" x14ac:dyDescent="0.2">
      <c r="A272" s="38" t="s">
        <v>265</v>
      </c>
      <c r="B272" s="39" t="s">
        <v>24</v>
      </c>
      <c r="C272" s="39">
        <v>72947</v>
      </c>
      <c r="D272" s="40" t="s">
        <v>161</v>
      </c>
      <c r="E272" s="41" t="s">
        <v>6</v>
      </c>
      <c r="F272" s="45">
        <f>ROUND(((9+9+12.4+12.4+37.22+37.33)*0.12)+((24.02+16.5)*2*0.32)+(0.3*2)+(1.95*1),2)</f>
        <v>42.56</v>
      </c>
      <c r="G272" s="45">
        <v>21.21</v>
      </c>
      <c r="H272" s="45">
        <v>20.329999999999998</v>
      </c>
      <c r="I272" s="42">
        <f>ROUND(H272*(1+$E$168),2)</f>
        <v>24.59</v>
      </c>
      <c r="J272" s="45">
        <f t="shared" ref="J272:J273" si="48">ROUND(F272*I272,2)</f>
        <v>1046.55</v>
      </c>
      <c r="K272" s="161"/>
      <c r="L272" s="474"/>
      <c r="M272" s="15"/>
      <c r="N272" s="164"/>
      <c r="O272" s="164"/>
      <c r="P272" s="17"/>
    </row>
    <row r="273" spans="1:39" s="8" customFormat="1" ht="12" x14ac:dyDescent="0.2">
      <c r="A273" s="38" t="s">
        <v>266</v>
      </c>
      <c r="B273" s="39" t="s">
        <v>23</v>
      </c>
      <c r="C273" s="39">
        <v>5214003</v>
      </c>
      <c r="D273" s="40" t="s">
        <v>162</v>
      </c>
      <c r="E273" s="41" t="s">
        <v>6</v>
      </c>
      <c r="F273" s="45">
        <f>ROUND((0.4*4*24)+((4.6+6.2+2+2+2+1.2+1.2+1.2)*0.4),2)</f>
        <v>46.56</v>
      </c>
      <c r="G273" s="45">
        <v>46.1</v>
      </c>
      <c r="H273" s="45">
        <v>42.12</v>
      </c>
      <c r="I273" s="42">
        <f>ROUND(H273*(1+$E$168),2)</f>
        <v>50.95</v>
      </c>
      <c r="J273" s="45">
        <f t="shared" si="48"/>
        <v>2372.23</v>
      </c>
      <c r="K273" s="161"/>
      <c r="L273" s="26"/>
      <c r="M273" s="15"/>
      <c r="N273" s="164"/>
      <c r="O273" s="164"/>
      <c r="P273" s="17"/>
    </row>
    <row r="274" spans="1:39" s="8" customFormat="1" ht="12" hidden="1" x14ac:dyDescent="0.2">
      <c r="A274" s="38" t="s">
        <v>267</v>
      </c>
      <c r="B274" s="11" t="s">
        <v>23</v>
      </c>
      <c r="C274" s="11" t="s">
        <v>21</v>
      </c>
      <c r="D274" s="12" t="s">
        <v>163</v>
      </c>
      <c r="E274" s="13" t="s">
        <v>7</v>
      </c>
      <c r="F274" s="46"/>
      <c r="G274" s="46"/>
      <c r="H274" s="45">
        <f>ROUND(G274*(1+$E$686),2)</f>
        <v>0</v>
      </c>
      <c r="I274" s="42">
        <f>ROUND(H274*(1+$E$168),2)</f>
        <v>0</v>
      </c>
      <c r="J274" s="50"/>
      <c r="K274" s="161"/>
      <c r="L274" s="26"/>
      <c r="M274" s="15"/>
      <c r="N274" s="164"/>
      <c r="O274" s="164"/>
      <c r="P274" s="17"/>
    </row>
    <row r="275" spans="1:39" s="58" customFormat="1" ht="12" x14ac:dyDescent="0.2">
      <c r="A275" s="38" t="s">
        <v>267</v>
      </c>
      <c r="B275" s="39" t="s">
        <v>23</v>
      </c>
      <c r="C275" s="39">
        <v>5213362</v>
      </c>
      <c r="D275" s="40" t="s">
        <v>86</v>
      </c>
      <c r="E275" s="41" t="s">
        <v>7</v>
      </c>
      <c r="F275" s="45">
        <v>58</v>
      </c>
      <c r="G275" s="45">
        <v>43.38</v>
      </c>
      <c r="H275" s="45">
        <v>39.01</v>
      </c>
      <c r="I275" s="42">
        <f>ROUND(H275*(1+$E$168),2)</f>
        <v>47.19</v>
      </c>
      <c r="J275" s="45">
        <f t="shared" ref="J275" si="49">ROUND(F275*I275,2)</f>
        <v>2737.02</v>
      </c>
      <c r="K275" s="161"/>
      <c r="L275" s="26"/>
      <c r="M275" s="15"/>
      <c r="N275" s="164"/>
      <c r="O275" s="164"/>
      <c r="P275" s="17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s="8" customFormat="1" ht="12" x14ac:dyDescent="0.2">
      <c r="A276" s="10" t="s">
        <v>63</v>
      </c>
      <c r="B276" s="11"/>
      <c r="C276" s="11"/>
      <c r="D276" s="12" t="s">
        <v>82</v>
      </c>
      <c r="E276" s="13"/>
      <c r="F276" s="46"/>
      <c r="G276" s="46"/>
      <c r="H276" s="46"/>
      <c r="I276" s="63"/>
      <c r="J276" s="50"/>
      <c r="K276" s="161"/>
      <c r="L276" s="26"/>
      <c r="M276" s="15"/>
      <c r="N276" s="164"/>
      <c r="O276" s="164"/>
      <c r="P276" s="17"/>
    </row>
    <row r="277" spans="1:39" s="8" customFormat="1" ht="26.25" customHeight="1" x14ac:dyDescent="0.2">
      <c r="A277" s="38" t="s">
        <v>268</v>
      </c>
      <c r="B277" s="39" t="s">
        <v>23</v>
      </c>
      <c r="C277" s="39">
        <v>5213863</v>
      </c>
      <c r="D277" s="40" t="s">
        <v>361</v>
      </c>
      <c r="E277" s="41" t="s">
        <v>7</v>
      </c>
      <c r="F277" s="45">
        <v>6</v>
      </c>
      <c r="G277" s="45">
        <v>117.36</v>
      </c>
      <c r="H277" s="45">
        <v>272.91000000000003</v>
      </c>
      <c r="I277" s="42">
        <f t="shared" ref="I277:I285" si="50">ROUND(H277*(1+$E$168),2)</f>
        <v>330.14</v>
      </c>
      <c r="J277" s="45">
        <f t="shared" ref="J277:J285" si="51">ROUND(F277*I277,2)</f>
        <v>1980.84</v>
      </c>
      <c r="K277" s="161"/>
      <c r="L277" s="26"/>
      <c r="M277" s="15"/>
      <c r="N277" s="164"/>
      <c r="O277" s="164"/>
      <c r="P277" s="17"/>
    </row>
    <row r="278" spans="1:39" s="8" customFormat="1" ht="24" customHeight="1" x14ac:dyDescent="0.2">
      <c r="A278" s="38" t="s">
        <v>269</v>
      </c>
      <c r="B278" s="39" t="s">
        <v>23</v>
      </c>
      <c r="C278" s="39">
        <v>5213851</v>
      </c>
      <c r="D278" s="40" t="s">
        <v>362</v>
      </c>
      <c r="E278" s="41" t="s">
        <v>7</v>
      </c>
      <c r="F278" s="45">
        <v>15</v>
      </c>
      <c r="G278" s="45">
        <v>117.36</v>
      </c>
      <c r="H278" s="45">
        <v>216.43</v>
      </c>
      <c r="I278" s="42">
        <f t="shared" si="50"/>
        <v>261.82</v>
      </c>
      <c r="J278" s="45">
        <f t="shared" si="51"/>
        <v>3927.3</v>
      </c>
      <c r="K278" s="161"/>
      <c r="L278" s="26"/>
      <c r="M278" s="15"/>
      <c r="N278" s="164"/>
      <c r="O278" s="164"/>
      <c r="P278" s="17"/>
    </row>
    <row r="279" spans="1:39" s="142" customFormat="1" ht="24" x14ac:dyDescent="0.2">
      <c r="A279" s="38" t="s">
        <v>270</v>
      </c>
      <c r="B279" s="39" t="s">
        <v>23</v>
      </c>
      <c r="C279" s="39">
        <v>5213464</v>
      </c>
      <c r="D279" s="40" t="s">
        <v>363</v>
      </c>
      <c r="E279" s="41" t="s">
        <v>7</v>
      </c>
      <c r="F279" s="45">
        <v>6</v>
      </c>
      <c r="G279" s="45">
        <v>243.03</v>
      </c>
      <c r="H279" s="45">
        <v>260.95</v>
      </c>
      <c r="I279" s="42">
        <f t="shared" si="50"/>
        <v>315.67</v>
      </c>
      <c r="J279" s="45">
        <f t="shared" si="51"/>
        <v>1894.02</v>
      </c>
      <c r="K279" s="161"/>
      <c r="L279" s="26"/>
      <c r="M279" s="15"/>
      <c r="N279" s="164"/>
      <c r="O279" s="164"/>
      <c r="P279" s="17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s="142" customFormat="1" ht="24" x14ac:dyDescent="0.2">
      <c r="A280" s="38" t="s">
        <v>366</v>
      </c>
      <c r="B280" s="39"/>
      <c r="C280" s="39" t="s">
        <v>100</v>
      </c>
      <c r="D280" s="40" t="s">
        <v>442</v>
      </c>
      <c r="E280" s="41" t="s">
        <v>7</v>
      </c>
      <c r="F280" s="45">
        <v>3</v>
      </c>
      <c r="G280" s="45">
        <v>243.03</v>
      </c>
      <c r="H280" s="45">
        <f>COMP!E70</f>
        <v>749.60171720430094</v>
      </c>
      <c r="I280" s="42">
        <f t="shared" si="50"/>
        <v>906.79</v>
      </c>
      <c r="J280" s="45">
        <f t="shared" si="51"/>
        <v>2720.37</v>
      </c>
      <c r="K280" s="259"/>
      <c r="L280" s="26"/>
      <c r="M280" s="15"/>
      <c r="N280" s="164"/>
      <c r="O280" s="164"/>
      <c r="P280" s="17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s="142" customFormat="1" ht="24" x14ac:dyDescent="0.2">
      <c r="A281" s="38" t="s">
        <v>367</v>
      </c>
      <c r="B281" s="39" t="s">
        <v>23</v>
      </c>
      <c r="C281" s="39">
        <v>5213440</v>
      </c>
      <c r="D281" s="40" t="s">
        <v>364</v>
      </c>
      <c r="E281" s="41" t="s">
        <v>7</v>
      </c>
      <c r="F281" s="45">
        <v>15</v>
      </c>
      <c r="G281" s="45">
        <v>243.03</v>
      </c>
      <c r="H281" s="45">
        <v>211.25</v>
      </c>
      <c r="I281" s="42">
        <f t="shared" si="50"/>
        <v>255.55</v>
      </c>
      <c r="J281" s="45">
        <f t="shared" si="51"/>
        <v>3833.25</v>
      </c>
      <c r="K281" s="161"/>
      <c r="L281" s="26"/>
      <c r="M281" s="15"/>
      <c r="N281" s="164"/>
      <c r="O281" s="164"/>
      <c r="P281" s="17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s="8" customFormat="1" ht="12" hidden="1" x14ac:dyDescent="0.2">
      <c r="A282" s="38" t="s">
        <v>268</v>
      </c>
      <c r="B282" s="39"/>
      <c r="C282" s="39" t="s">
        <v>100</v>
      </c>
      <c r="D282" s="44" t="s">
        <v>83</v>
      </c>
      <c r="E282" s="41" t="s">
        <v>7</v>
      </c>
      <c r="F282" s="45"/>
      <c r="G282" s="45">
        <v>117.36</v>
      </c>
      <c r="H282" s="45">
        <v>322.45</v>
      </c>
      <c r="I282" s="42">
        <f t="shared" si="50"/>
        <v>390.07</v>
      </c>
      <c r="J282" s="45">
        <f t="shared" si="51"/>
        <v>0</v>
      </c>
      <c r="K282" s="161"/>
      <c r="L282" s="26"/>
      <c r="M282" s="15"/>
      <c r="N282" s="164"/>
      <c r="O282" s="164"/>
      <c r="P282" s="17"/>
    </row>
    <row r="283" spans="1:39" s="8" customFormat="1" ht="12" hidden="1" x14ac:dyDescent="0.2">
      <c r="A283" s="38" t="s">
        <v>269</v>
      </c>
      <c r="B283" s="39"/>
      <c r="C283" s="39" t="s">
        <v>100</v>
      </c>
      <c r="D283" s="40" t="s">
        <v>164</v>
      </c>
      <c r="E283" s="41" t="s">
        <v>6</v>
      </c>
      <c r="F283" s="45"/>
      <c r="G283" s="45">
        <v>243.03</v>
      </c>
      <c r="H283" s="45">
        <v>566</v>
      </c>
      <c r="I283" s="42">
        <f t="shared" si="50"/>
        <v>684.69</v>
      </c>
      <c r="J283" s="45">
        <f t="shared" si="51"/>
        <v>0</v>
      </c>
      <c r="K283" s="161"/>
      <c r="L283" s="26"/>
      <c r="M283" s="15"/>
      <c r="N283" s="164"/>
      <c r="O283" s="164"/>
      <c r="P283" s="17"/>
    </row>
    <row r="284" spans="1:39" s="8" customFormat="1" ht="24" x14ac:dyDescent="0.2">
      <c r="A284" s="38" t="s">
        <v>368</v>
      </c>
      <c r="B284" s="39" t="s">
        <v>23</v>
      </c>
      <c r="C284" s="39">
        <v>5213628</v>
      </c>
      <c r="D284" s="40" t="s">
        <v>84</v>
      </c>
      <c r="E284" s="41" t="s">
        <v>7</v>
      </c>
      <c r="F284" s="45">
        <v>3</v>
      </c>
      <c r="G284" s="45">
        <v>10500</v>
      </c>
      <c r="H284" s="42">
        <v>17569.63</v>
      </c>
      <c r="I284" s="42">
        <f t="shared" si="50"/>
        <v>21253.98</v>
      </c>
      <c r="J284" s="45">
        <f t="shared" si="51"/>
        <v>63761.94</v>
      </c>
      <c r="K284" s="161"/>
      <c r="L284" s="165"/>
      <c r="M284" s="15"/>
      <c r="N284" s="164"/>
      <c r="O284" s="164"/>
      <c r="P284" s="17"/>
    </row>
    <row r="285" spans="1:39" s="8" customFormat="1" ht="24" x14ac:dyDescent="0.2">
      <c r="A285" s="38" t="s">
        <v>369</v>
      </c>
      <c r="B285" s="39" t="s">
        <v>23</v>
      </c>
      <c r="C285" s="39">
        <v>5213562</v>
      </c>
      <c r="D285" s="40" t="s">
        <v>365</v>
      </c>
      <c r="E285" s="41" t="s">
        <v>7</v>
      </c>
      <c r="F285" s="45">
        <v>3</v>
      </c>
      <c r="G285" s="45">
        <v>243.03</v>
      </c>
      <c r="H285" s="45">
        <v>1869.61</v>
      </c>
      <c r="I285" s="42">
        <f t="shared" si="50"/>
        <v>2261.67</v>
      </c>
      <c r="J285" s="45">
        <f t="shared" si="51"/>
        <v>6785.01</v>
      </c>
      <c r="K285" s="161"/>
      <c r="L285" s="165"/>
      <c r="M285" s="15"/>
      <c r="N285" s="164"/>
      <c r="O285" s="164"/>
      <c r="P285" s="17"/>
    </row>
    <row r="286" spans="1:39" s="8" customFormat="1" ht="12" hidden="1" x14ac:dyDescent="0.2">
      <c r="A286" s="10" t="s">
        <v>77</v>
      </c>
      <c r="B286" s="11"/>
      <c r="C286" s="11"/>
      <c r="D286" s="12" t="s">
        <v>165</v>
      </c>
      <c r="E286" s="13"/>
      <c r="F286" s="46"/>
      <c r="G286" s="46"/>
      <c r="H286" s="46"/>
      <c r="I286" s="171"/>
      <c r="J286" s="50"/>
      <c r="K286" s="161"/>
      <c r="L286" s="26"/>
      <c r="M286" s="15"/>
      <c r="N286" s="164"/>
      <c r="O286" s="164"/>
      <c r="P286" s="17"/>
    </row>
    <row r="287" spans="1:39" s="8" customFormat="1" ht="12" hidden="1" x14ac:dyDescent="0.2">
      <c r="A287" s="10" t="s">
        <v>79</v>
      </c>
      <c r="B287" s="11" t="s">
        <v>23</v>
      </c>
      <c r="C287" s="11" t="s">
        <v>19</v>
      </c>
      <c r="D287" s="12" t="s">
        <v>166</v>
      </c>
      <c r="E287" s="13" t="s">
        <v>9</v>
      </c>
      <c r="F287" s="46"/>
      <c r="G287" s="46"/>
      <c r="H287" s="46"/>
      <c r="I287" s="171"/>
      <c r="J287" s="50"/>
      <c r="K287" s="161"/>
      <c r="L287" s="26"/>
      <c r="M287" s="15"/>
      <c r="N287" s="164"/>
      <c r="O287" s="164"/>
      <c r="P287" s="17"/>
    </row>
    <row r="288" spans="1:39" s="8" customFormat="1" ht="12" hidden="1" x14ac:dyDescent="0.2">
      <c r="A288" s="10" t="s">
        <v>81</v>
      </c>
      <c r="B288" s="11" t="s">
        <v>23</v>
      </c>
      <c r="C288" s="11" t="s">
        <v>20</v>
      </c>
      <c r="D288" s="12" t="s">
        <v>167</v>
      </c>
      <c r="E288" s="13" t="s">
        <v>9</v>
      </c>
      <c r="F288" s="46"/>
      <c r="G288" s="46"/>
      <c r="H288" s="46"/>
      <c r="I288" s="171"/>
      <c r="J288" s="50"/>
      <c r="K288" s="161"/>
      <c r="L288" s="26"/>
      <c r="M288" s="15"/>
      <c r="N288" s="164"/>
      <c r="O288" s="164"/>
      <c r="P288" s="17"/>
    </row>
    <row r="289" spans="1:39" s="32" customFormat="1" ht="12" x14ac:dyDescent="0.2">
      <c r="A289" s="27"/>
      <c r="B289" s="28"/>
      <c r="C289" s="28"/>
      <c r="D289" s="29" t="s">
        <v>172</v>
      </c>
      <c r="E289" s="27"/>
      <c r="F289" s="48"/>
      <c r="G289" s="48"/>
      <c r="H289" s="48"/>
      <c r="I289" s="48"/>
      <c r="J289" s="49">
        <f>SUM(J272:J288)</f>
        <v>91058.53</v>
      </c>
      <c r="K289" s="174"/>
      <c r="L289" s="33"/>
      <c r="M289" s="15"/>
      <c r="N289" s="9"/>
      <c r="O289" s="9"/>
      <c r="P289" s="9"/>
      <c r="Q289" s="8"/>
      <c r="R289" s="26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15.75" x14ac:dyDescent="0.25">
      <c r="A290" s="82"/>
      <c r="B290" s="109"/>
      <c r="C290" s="109"/>
      <c r="D290" s="269" t="s">
        <v>173</v>
      </c>
      <c r="E290" s="344">
        <v>0.2097</v>
      </c>
      <c r="F290" s="344"/>
      <c r="G290" s="270"/>
      <c r="H290" s="270"/>
      <c r="I290" s="345">
        <f>SUM(J289+J268+J249+J232+J181)</f>
        <v>523127.33999999997</v>
      </c>
      <c r="J290" s="345"/>
      <c r="K290" s="162"/>
      <c r="M290" s="15"/>
    </row>
    <row r="291" spans="1:39" ht="18" x14ac:dyDescent="0.2">
      <c r="A291" s="260"/>
      <c r="B291" s="260"/>
      <c r="C291" s="260"/>
      <c r="D291" s="260"/>
      <c r="E291" s="260"/>
      <c r="F291" s="260"/>
      <c r="G291" s="260"/>
      <c r="H291" s="260"/>
      <c r="I291" s="260"/>
      <c r="J291" s="260"/>
      <c r="K291" s="166"/>
      <c r="M291" s="149"/>
      <c r="N291" s="149"/>
      <c r="O291" s="149"/>
      <c r="P291" s="149"/>
      <c r="Q291" s="149"/>
    </row>
    <row r="292" spans="1:39" s="59" customFormat="1" ht="18" x14ac:dyDescent="0.2">
      <c r="A292" s="350" t="s">
        <v>318</v>
      </c>
      <c r="B292" s="350"/>
      <c r="C292" s="350"/>
      <c r="D292" s="350"/>
      <c r="E292" s="350"/>
      <c r="F292" s="350"/>
      <c r="G292" s="350"/>
      <c r="H292" s="350"/>
      <c r="I292" s="350"/>
      <c r="J292" s="350"/>
      <c r="K292" s="178"/>
    </row>
    <row r="293" spans="1:39" s="3" customFormat="1" ht="15" customHeight="1" x14ac:dyDescent="0.2">
      <c r="A293" s="356" t="s">
        <v>91</v>
      </c>
      <c r="B293" s="356" t="s">
        <v>92</v>
      </c>
      <c r="C293" s="356" t="s">
        <v>93</v>
      </c>
      <c r="D293" s="356" t="s">
        <v>94</v>
      </c>
      <c r="E293" s="356" t="s">
        <v>95</v>
      </c>
      <c r="F293" s="356" t="s">
        <v>96</v>
      </c>
      <c r="G293" s="356" t="s">
        <v>169</v>
      </c>
      <c r="H293" s="356" t="s">
        <v>169</v>
      </c>
      <c r="I293" s="356" t="s">
        <v>170</v>
      </c>
      <c r="J293" s="356" t="s">
        <v>171</v>
      </c>
      <c r="K293" s="161"/>
    </row>
    <row r="294" spans="1:39" s="3" customFormat="1" ht="12" x14ac:dyDescent="0.2">
      <c r="A294" s="356"/>
      <c r="B294" s="356"/>
      <c r="C294" s="356"/>
      <c r="D294" s="356"/>
      <c r="E294" s="356"/>
      <c r="F294" s="356"/>
      <c r="G294" s="356"/>
      <c r="H294" s="356"/>
      <c r="I294" s="356"/>
      <c r="J294" s="356"/>
      <c r="K294" s="161"/>
    </row>
    <row r="295" spans="1:39" x14ac:dyDescent="0.2">
      <c r="A295" s="4">
        <v>1</v>
      </c>
      <c r="B295" s="79"/>
      <c r="C295" s="5"/>
      <c r="D295" s="6" t="s">
        <v>183</v>
      </c>
      <c r="E295" s="267"/>
      <c r="F295" s="47"/>
      <c r="G295" s="25"/>
      <c r="H295" s="25"/>
      <c r="I295" s="47"/>
      <c r="J295" s="47"/>
      <c r="K295" s="166"/>
    </row>
    <row r="296" spans="1:39" hidden="1" x14ac:dyDescent="0.2">
      <c r="A296" s="38" t="s">
        <v>26</v>
      </c>
      <c r="B296" s="39" t="s">
        <v>24</v>
      </c>
      <c r="C296" s="39" t="s">
        <v>205</v>
      </c>
      <c r="D296" s="40" t="s">
        <v>184</v>
      </c>
      <c r="E296" s="41" t="s">
        <v>6</v>
      </c>
      <c r="F296" s="45">
        <v>0</v>
      </c>
      <c r="G296" s="45">
        <v>79933.38</v>
      </c>
      <c r="H296" s="45">
        <v>367.95</v>
      </c>
      <c r="I296" s="45">
        <f>ROUND(H296*(1+$E$566),2)</f>
        <v>367.95</v>
      </c>
      <c r="J296" s="45">
        <f>ROUND(F296*I296,2)</f>
        <v>0</v>
      </c>
      <c r="K296" s="166"/>
    </row>
    <row r="297" spans="1:39" ht="24" x14ac:dyDescent="0.2">
      <c r="A297" s="38" t="s">
        <v>26</v>
      </c>
      <c r="B297" s="39" t="s">
        <v>24</v>
      </c>
      <c r="C297" s="39">
        <v>78472</v>
      </c>
      <c r="D297" s="40" t="s">
        <v>185</v>
      </c>
      <c r="E297" s="41" t="s">
        <v>6</v>
      </c>
      <c r="F297" s="45">
        <v>6356.07</v>
      </c>
      <c r="G297" s="45">
        <v>166732.84</v>
      </c>
      <c r="H297" s="45">
        <v>0.34</v>
      </c>
      <c r="I297" s="45">
        <f>ROUND(H297*(1+$E$168),2)</f>
        <v>0.41</v>
      </c>
      <c r="J297" s="45">
        <f t="shared" ref="J297" si="52">ROUND(F297*I297,2)</f>
        <v>2605.9899999999998</v>
      </c>
      <c r="K297" s="166"/>
    </row>
    <row r="298" spans="1:39" x14ac:dyDescent="0.2">
      <c r="A298" s="27"/>
      <c r="B298" s="28"/>
      <c r="C298" s="28"/>
      <c r="D298" s="29" t="s">
        <v>172</v>
      </c>
      <c r="E298" s="27"/>
      <c r="F298" s="48"/>
      <c r="G298" s="48"/>
      <c r="H298" s="48"/>
      <c r="I298" s="50"/>
      <c r="J298" s="49">
        <f>SUM(J296:J297)</f>
        <v>2605.9899999999998</v>
      </c>
      <c r="K298" s="166"/>
    </row>
    <row r="299" spans="1:39" hidden="1" x14ac:dyDescent="0.2">
      <c r="A299" s="10"/>
      <c r="B299" s="11"/>
      <c r="C299" s="11"/>
      <c r="D299" s="12"/>
      <c r="E299" s="13"/>
      <c r="F299" s="46"/>
      <c r="G299" s="46"/>
      <c r="H299" s="46"/>
      <c r="I299" s="50"/>
      <c r="J299" s="46"/>
      <c r="K299" s="166"/>
    </row>
    <row r="300" spans="1:39" hidden="1" x14ac:dyDescent="0.2">
      <c r="A300" s="4">
        <v>2</v>
      </c>
      <c r="B300" s="5"/>
      <c r="C300" s="5"/>
      <c r="D300" s="6" t="s">
        <v>186</v>
      </c>
      <c r="E300" s="267"/>
      <c r="F300" s="47"/>
      <c r="G300" s="47"/>
      <c r="H300" s="47"/>
      <c r="I300" s="50"/>
      <c r="J300" s="47"/>
      <c r="K300" s="166"/>
    </row>
    <row r="301" spans="1:39" hidden="1" x14ac:dyDescent="0.2">
      <c r="A301" s="38" t="s">
        <v>27</v>
      </c>
      <c r="B301" s="39" t="s">
        <v>24</v>
      </c>
      <c r="C301" s="39" t="s">
        <v>208</v>
      </c>
      <c r="D301" s="40" t="s">
        <v>187</v>
      </c>
      <c r="E301" s="41" t="s">
        <v>5</v>
      </c>
      <c r="F301" s="45">
        <v>0</v>
      </c>
      <c r="G301" s="46"/>
      <c r="H301" s="45">
        <v>3.8</v>
      </c>
      <c r="I301" s="50"/>
      <c r="J301" s="45">
        <f t="shared" ref="J301:J302" si="53">ROUND(F301*I301,2)</f>
        <v>0</v>
      </c>
      <c r="K301" s="167"/>
    </row>
    <row r="302" spans="1:39" hidden="1" x14ac:dyDescent="0.2">
      <c r="A302" s="38" t="s">
        <v>30</v>
      </c>
      <c r="B302" s="39"/>
      <c r="C302" s="39"/>
      <c r="D302" s="40" t="s">
        <v>188</v>
      </c>
      <c r="E302" s="41" t="s">
        <v>5</v>
      </c>
      <c r="F302" s="45">
        <v>0</v>
      </c>
      <c r="G302" s="46"/>
      <c r="H302" s="45">
        <v>3.81</v>
      </c>
      <c r="I302" s="50"/>
      <c r="J302" s="45">
        <f t="shared" si="53"/>
        <v>0</v>
      </c>
      <c r="K302" s="166"/>
      <c r="L302" s="51"/>
    </row>
    <row r="303" spans="1:39" ht="36" hidden="1" x14ac:dyDescent="0.2">
      <c r="A303" s="38" t="s">
        <v>191</v>
      </c>
      <c r="B303" s="39" t="s">
        <v>24</v>
      </c>
      <c r="C303" s="39" t="s">
        <v>206</v>
      </c>
      <c r="D303" s="40" t="s">
        <v>189</v>
      </c>
      <c r="E303" s="41" t="s">
        <v>5</v>
      </c>
      <c r="F303" s="45">
        <v>0</v>
      </c>
      <c r="G303" s="45"/>
      <c r="H303" s="45">
        <f>10.42+20.9</f>
        <v>31.32</v>
      </c>
      <c r="I303" s="50"/>
      <c r="J303" s="45">
        <f>ROUND(F303*I303,2)</f>
        <v>0</v>
      </c>
      <c r="K303" s="168"/>
    </row>
    <row r="304" spans="1:39" hidden="1" x14ac:dyDescent="0.2">
      <c r="A304" s="38" t="s">
        <v>192</v>
      </c>
      <c r="B304" s="39"/>
      <c r="C304" s="39"/>
      <c r="D304" s="40" t="s">
        <v>190</v>
      </c>
      <c r="E304" s="38" t="s">
        <v>5</v>
      </c>
      <c r="F304" s="45">
        <v>0</v>
      </c>
      <c r="G304" s="45"/>
      <c r="H304" s="45">
        <v>7.72</v>
      </c>
      <c r="I304" s="50"/>
      <c r="J304" s="45">
        <f>ROUND(F304*I304,2)</f>
        <v>0</v>
      </c>
      <c r="K304" s="166"/>
    </row>
    <row r="305" spans="1:39" hidden="1" x14ac:dyDescent="0.2">
      <c r="A305" s="27"/>
      <c r="B305" s="28"/>
      <c r="C305" s="28"/>
      <c r="D305" s="29" t="s">
        <v>172</v>
      </c>
      <c r="E305" s="27"/>
      <c r="F305" s="48"/>
      <c r="G305" s="48"/>
      <c r="H305" s="48"/>
      <c r="I305" s="50"/>
      <c r="J305" s="49">
        <f>SUM(J301:J304)</f>
        <v>0</v>
      </c>
      <c r="K305" s="166"/>
    </row>
    <row r="306" spans="1:39" x14ac:dyDescent="0.2">
      <c r="A306" s="10"/>
      <c r="B306" s="11"/>
      <c r="C306" s="11"/>
      <c r="D306" s="12"/>
      <c r="E306" s="13"/>
      <c r="F306" s="46"/>
      <c r="G306" s="46"/>
      <c r="H306" s="46"/>
      <c r="I306" s="50"/>
      <c r="J306" s="46"/>
      <c r="K306" s="166"/>
    </row>
    <row r="307" spans="1:39" s="8" customFormat="1" ht="12" x14ac:dyDescent="0.2">
      <c r="A307" s="25">
        <v>2</v>
      </c>
      <c r="B307" s="109"/>
      <c r="C307" s="109"/>
      <c r="D307" s="110" t="s">
        <v>135</v>
      </c>
      <c r="E307" s="112"/>
      <c r="F307" s="169"/>
      <c r="G307" s="169"/>
      <c r="H307" s="169"/>
      <c r="I307" s="50"/>
      <c r="J307" s="169"/>
      <c r="K307" s="161"/>
      <c r="L307" s="26"/>
      <c r="M307" s="15"/>
      <c r="N307" s="9"/>
      <c r="O307" s="9"/>
      <c r="P307" s="9"/>
    </row>
    <row r="308" spans="1:39" s="8" customFormat="1" ht="12" x14ac:dyDescent="0.2">
      <c r="A308" s="38" t="s">
        <v>27</v>
      </c>
      <c r="B308" s="39" t="s">
        <v>24</v>
      </c>
      <c r="C308" s="39">
        <v>90093</v>
      </c>
      <c r="D308" s="40" t="s">
        <v>136</v>
      </c>
      <c r="E308" s="41" t="s">
        <v>5</v>
      </c>
      <c r="F308" s="45">
        <v>1620.7</v>
      </c>
      <c r="G308" s="45">
        <v>4.55</v>
      </c>
      <c r="H308" s="45">
        <v>3.37</v>
      </c>
      <c r="I308" s="45">
        <f>ROUND(H308*(1+$E$168),2)</f>
        <v>4.08</v>
      </c>
      <c r="J308" s="45">
        <f t="shared" ref="J308:J311" si="54">ROUND(F308*I308,2)</f>
        <v>6612.46</v>
      </c>
      <c r="K308" s="161"/>
      <c r="L308" s="26"/>
      <c r="M308" s="15"/>
      <c r="N308" s="164"/>
      <c r="O308" s="164"/>
      <c r="P308" s="17"/>
    </row>
    <row r="309" spans="1:39" s="58" customFormat="1" ht="12" x14ac:dyDescent="0.2">
      <c r="A309" s="38" t="s">
        <v>30</v>
      </c>
      <c r="B309" s="39" t="s">
        <v>23</v>
      </c>
      <c r="C309" s="39">
        <v>5914389</v>
      </c>
      <c r="D309" s="40" t="s">
        <v>145</v>
      </c>
      <c r="E309" s="41" t="s">
        <v>35</v>
      </c>
      <c r="F309" s="45">
        <f>F308*1.84*4</f>
        <v>11928.352000000001</v>
      </c>
      <c r="G309" s="45">
        <v>0.6</v>
      </c>
      <c r="H309" s="42">
        <v>0.47</v>
      </c>
      <c r="I309" s="45">
        <f>ROUND(H309*(1+$E$168),2)</f>
        <v>0.56999999999999995</v>
      </c>
      <c r="J309" s="45">
        <f t="shared" si="54"/>
        <v>6799.16</v>
      </c>
      <c r="K309" s="65"/>
      <c r="L309" s="55"/>
      <c r="M309" s="56"/>
      <c r="N309" s="66"/>
      <c r="O309" s="66"/>
      <c r="P309" s="57"/>
    </row>
    <row r="310" spans="1:39" s="341" customFormat="1" ht="12" x14ac:dyDescent="0.2">
      <c r="A310" s="334" t="s">
        <v>191</v>
      </c>
      <c r="B310" s="182"/>
      <c r="C310" s="182"/>
      <c r="D310" s="180" t="s">
        <v>466</v>
      </c>
      <c r="E310" s="335"/>
      <c r="F310" s="50"/>
      <c r="G310" s="50"/>
      <c r="H310" s="37"/>
      <c r="I310" s="50"/>
      <c r="J310" s="50"/>
      <c r="K310" s="336"/>
      <c r="L310" s="337"/>
      <c r="M310" s="338"/>
      <c r="N310" s="339"/>
      <c r="O310" s="339"/>
      <c r="P310" s="340"/>
    </row>
    <row r="311" spans="1:39" s="8" customFormat="1" ht="12" x14ac:dyDescent="0.2">
      <c r="A311" s="38" t="s">
        <v>429</v>
      </c>
      <c r="B311" s="39" t="s">
        <v>427</v>
      </c>
      <c r="C311" s="52" t="s">
        <v>468</v>
      </c>
      <c r="D311" s="40" t="s">
        <v>464</v>
      </c>
      <c r="E311" s="41" t="s">
        <v>6</v>
      </c>
      <c r="F311" s="45">
        <v>1110.4100000000001</v>
      </c>
      <c r="G311" s="45">
        <v>28.57</v>
      </c>
      <c r="H311" s="45">
        <v>6.43</v>
      </c>
      <c r="I311" s="45">
        <f>ROUND(H311*(1+$E$168),2)</f>
        <v>7.78</v>
      </c>
      <c r="J311" s="45">
        <f t="shared" si="54"/>
        <v>8638.99</v>
      </c>
      <c r="K311" s="161"/>
      <c r="L311" s="26"/>
      <c r="M311" s="15"/>
      <c r="N311" s="164"/>
      <c r="O311" s="164"/>
      <c r="P311" s="17"/>
    </row>
    <row r="312" spans="1:39" s="8" customFormat="1" ht="12" x14ac:dyDescent="0.2">
      <c r="A312" s="38" t="s">
        <v>430</v>
      </c>
      <c r="B312" s="39" t="s">
        <v>427</v>
      </c>
      <c r="C312" s="52" t="s">
        <v>469</v>
      </c>
      <c r="D312" s="40" t="s">
        <v>465</v>
      </c>
      <c r="E312" s="41" t="s">
        <v>6</v>
      </c>
      <c r="F312" s="45">
        <v>83.82</v>
      </c>
      <c r="G312" s="45">
        <v>28.57</v>
      </c>
      <c r="H312" s="45">
        <v>6.85</v>
      </c>
      <c r="I312" s="45">
        <f>ROUND(H312*(1+$E$168),2)</f>
        <v>8.2899999999999991</v>
      </c>
      <c r="J312" s="45">
        <f t="shared" ref="J312" si="55">ROUND(F312*I312,2)</f>
        <v>694.87</v>
      </c>
      <c r="K312" s="161"/>
      <c r="L312" s="26"/>
      <c r="M312" s="15"/>
      <c r="N312" s="164"/>
      <c r="O312" s="164"/>
      <c r="P312" s="17"/>
    </row>
    <row r="313" spans="1:39" s="8" customFormat="1" ht="12" x14ac:dyDescent="0.2">
      <c r="A313" s="38" t="s">
        <v>522</v>
      </c>
      <c r="B313" s="39" t="s">
        <v>427</v>
      </c>
      <c r="C313" s="52" t="s">
        <v>470</v>
      </c>
      <c r="D313" s="40" t="s">
        <v>467</v>
      </c>
      <c r="E313" s="41" t="s">
        <v>6</v>
      </c>
      <c r="F313" s="45">
        <v>533.63</v>
      </c>
      <c r="G313" s="45">
        <v>28.57</v>
      </c>
      <c r="H313" s="45">
        <v>7.33</v>
      </c>
      <c r="I313" s="45">
        <f>ROUND(H313*(1+$E$168),2)</f>
        <v>8.8699999999999992</v>
      </c>
      <c r="J313" s="45">
        <f t="shared" ref="J313" si="56">ROUND(F313*I313,2)</f>
        <v>4733.3</v>
      </c>
      <c r="K313" s="161"/>
      <c r="L313" s="26"/>
      <c r="M313" s="15"/>
      <c r="N313" s="164"/>
      <c r="O313" s="164"/>
      <c r="P313" s="17"/>
    </row>
    <row r="314" spans="1:39" s="341" customFormat="1" ht="12" x14ac:dyDescent="0.2">
      <c r="A314" s="334" t="s">
        <v>192</v>
      </c>
      <c r="B314" s="182"/>
      <c r="C314" s="182"/>
      <c r="D314" s="342" t="s">
        <v>137</v>
      </c>
      <c r="E314" s="335"/>
      <c r="F314" s="50"/>
      <c r="G314" s="50"/>
      <c r="H314" s="50"/>
      <c r="I314" s="50"/>
      <c r="J314" s="50"/>
      <c r="K314" s="336"/>
      <c r="L314" s="337"/>
      <c r="M314" s="338"/>
      <c r="N314" s="339"/>
      <c r="O314" s="339"/>
      <c r="P314" s="340"/>
    </row>
    <row r="315" spans="1:39" s="8" customFormat="1" ht="12" x14ac:dyDescent="0.2">
      <c r="A315" s="38" t="s">
        <v>240</v>
      </c>
      <c r="B315" s="39" t="s">
        <v>24</v>
      </c>
      <c r="C315" s="39">
        <v>92210</v>
      </c>
      <c r="D315" s="40" t="s">
        <v>138</v>
      </c>
      <c r="E315" s="41" t="s">
        <v>9</v>
      </c>
      <c r="F315" s="45">
        <v>45</v>
      </c>
      <c r="G315" s="45">
        <v>85.92</v>
      </c>
      <c r="H315" s="45">
        <v>84.08</v>
      </c>
      <c r="I315" s="45">
        <f>ROUND(H315*(1+$E$168),2)</f>
        <v>101.71</v>
      </c>
      <c r="J315" s="45">
        <f t="shared" ref="J315:J316" si="57">ROUND(F315*I315,2)</f>
        <v>4576.95</v>
      </c>
      <c r="K315" s="161"/>
      <c r="L315" s="26"/>
      <c r="M315" s="15"/>
      <c r="N315" s="164"/>
      <c r="O315" s="164"/>
      <c r="P315" s="17"/>
    </row>
    <row r="316" spans="1:39" s="8" customFormat="1" ht="12" x14ac:dyDescent="0.2">
      <c r="A316" s="38" t="s">
        <v>241</v>
      </c>
      <c r="B316" s="39" t="s">
        <v>24</v>
      </c>
      <c r="C316" s="39">
        <v>92212</v>
      </c>
      <c r="D316" s="40" t="s">
        <v>139</v>
      </c>
      <c r="E316" s="41" t="s">
        <v>9</v>
      </c>
      <c r="F316" s="45">
        <v>306</v>
      </c>
      <c r="G316" s="45">
        <v>137.82</v>
      </c>
      <c r="H316" s="45">
        <v>134.91999999999999</v>
      </c>
      <c r="I316" s="45">
        <f>ROUND(H316*(1+$E$168),2)</f>
        <v>163.21</v>
      </c>
      <c r="J316" s="45">
        <f t="shared" si="57"/>
        <v>49942.26</v>
      </c>
      <c r="K316" s="161"/>
      <c r="L316" s="26"/>
      <c r="M316" s="15"/>
      <c r="N316" s="164"/>
      <c r="O316" s="164"/>
      <c r="P316" s="17"/>
    </row>
    <row r="317" spans="1:39" s="8" customFormat="1" ht="12" hidden="1" x14ac:dyDescent="0.2">
      <c r="A317" s="38" t="s">
        <v>242</v>
      </c>
      <c r="B317" s="11" t="s">
        <v>24</v>
      </c>
      <c r="C317" s="11">
        <v>92214</v>
      </c>
      <c r="D317" s="12" t="s">
        <v>140</v>
      </c>
      <c r="E317" s="13" t="s">
        <v>9</v>
      </c>
      <c r="F317" s="46"/>
      <c r="G317" s="46"/>
      <c r="H317" s="46"/>
      <c r="I317" s="171"/>
      <c r="J317" s="50"/>
      <c r="K317" s="161"/>
      <c r="L317" s="26"/>
      <c r="M317" s="15"/>
      <c r="N317" s="164"/>
      <c r="O317" s="164"/>
      <c r="P317" s="17"/>
    </row>
    <row r="318" spans="1:39" s="142" customFormat="1" ht="12" x14ac:dyDescent="0.2">
      <c r="A318" s="38" t="s">
        <v>242</v>
      </c>
      <c r="B318" s="39" t="s">
        <v>24</v>
      </c>
      <c r="C318" s="39">
        <v>92214</v>
      </c>
      <c r="D318" s="40" t="s">
        <v>140</v>
      </c>
      <c r="E318" s="41" t="s">
        <v>9</v>
      </c>
      <c r="F318" s="45">
        <v>26</v>
      </c>
      <c r="G318" s="45">
        <v>137.82</v>
      </c>
      <c r="H318" s="45">
        <v>200.06</v>
      </c>
      <c r="I318" s="45">
        <f>ROUND(H318*(1+$E$168),2)</f>
        <v>242.01</v>
      </c>
      <c r="J318" s="45">
        <f t="shared" ref="J318:J319" si="58">ROUND(F318*I318,2)</f>
        <v>6292.26</v>
      </c>
      <c r="K318" s="161"/>
      <c r="L318" s="26"/>
      <c r="M318" s="15"/>
      <c r="N318" s="164"/>
      <c r="O318" s="164"/>
      <c r="P318" s="17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</row>
    <row r="319" spans="1:39" s="8" customFormat="1" ht="12" x14ac:dyDescent="0.2">
      <c r="A319" s="38" t="s">
        <v>243</v>
      </c>
      <c r="B319" s="39" t="s">
        <v>24</v>
      </c>
      <c r="C319" s="39">
        <v>92818</v>
      </c>
      <c r="D319" s="40" t="s">
        <v>141</v>
      </c>
      <c r="E319" s="41" t="s">
        <v>9</v>
      </c>
      <c r="F319" s="45">
        <v>110</v>
      </c>
      <c r="G319" s="45">
        <v>536.08000000000004</v>
      </c>
      <c r="H319" s="45">
        <v>524.54</v>
      </c>
      <c r="I319" s="45">
        <f>ROUND(H319*(1+$E$168),2)</f>
        <v>634.54</v>
      </c>
      <c r="J319" s="45">
        <f t="shared" si="58"/>
        <v>69799.399999999994</v>
      </c>
      <c r="K319" s="161"/>
      <c r="L319" s="26"/>
      <c r="M319" s="15"/>
      <c r="N319" s="164"/>
      <c r="O319" s="164"/>
      <c r="P319" s="17"/>
    </row>
    <row r="320" spans="1:39" s="8" customFormat="1" ht="10.5" customHeight="1" x14ac:dyDescent="0.2">
      <c r="A320" s="10" t="s">
        <v>218</v>
      </c>
      <c r="B320" s="11"/>
      <c r="C320" s="11"/>
      <c r="D320" s="12" t="s">
        <v>45</v>
      </c>
      <c r="E320" s="13"/>
      <c r="F320" s="46"/>
      <c r="G320" s="46"/>
      <c r="H320" s="46"/>
      <c r="I320" s="46"/>
      <c r="J320" s="50"/>
      <c r="K320" s="161"/>
      <c r="L320" s="26"/>
      <c r="M320" s="15"/>
      <c r="N320" s="164"/>
      <c r="O320" s="164"/>
      <c r="P320" s="17"/>
    </row>
    <row r="321" spans="1:16" s="58" customFormat="1" ht="12" x14ac:dyDescent="0.2">
      <c r="A321" s="38" t="s">
        <v>244</v>
      </c>
      <c r="B321" s="39"/>
      <c r="C321" s="39" t="s">
        <v>100</v>
      </c>
      <c r="D321" s="40" t="s">
        <v>46</v>
      </c>
      <c r="E321" s="41" t="s">
        <v>7</v>
      </c>
      <c r="F321" s="45">
        <v>2</v>
      </c>
      <c r="G321" s="45">
        <v>690.18</v>
      </c>
      <c r="H321" s="45">
        <v>1002.24</v>
      </c>
      <c r="I321" s="45">
        <f>ROUND(H321*(1+$E$168),2)</f>
        <v>1212.4100000000001</v>
      </c>
      <c r="J321" s="45">
        <f t="shared" ref="J321:J322" si="59">ROUND(F321*I321,2)</f>
        <v>2424.8200000000002</v>
      </c>
      <c r="K321" s="65"/>
      <c r="L321" s="55"/>
      <c r="M321" s="56"/>
      <c r="N321" s="66"/>
      <c r="O321" s="66"/>
      <c r="P321" s="57"/>
    </row>
    <row r="322" spans="1:16" s="58" customFormat="1" ht="12" x14ac:dyDescent="0.2">
      <c r="A322" s="38" t="s">
        <v>245</v>
      </c>
      <c r="B322" s="39"/>
      <c r="C322" s="39" t="s">
        <v>100</v>
      </c>
      <c r="D322" s="40" t="s">
        <v>47</v>
      </c>
      <c r="E322" s="41" t="s">
        <v>7</v>
      </c>
      <c r="F322" s="45">
        <f>15+6</f>
        <v>21</v>
      </c>
      <c r="G322" s="45">
        <v>759.67</v>
      </c>
      <c r="H322" s="45">
        <v>1351.13</v>
      </c>
      <c r="I322" s="45">
        <f>ROUND(H322*(1+$E$168),2)</f>
        <v>1634.46</v>
      </c>
      <c r="J322" s="45">
        <f t="shared" si="59"/>
        <v>34323.660000000003</v>
      </c>
      <c r="K322" s="65"/>
      <c r="L322" s="55"/>
      <c r="M322" s="56"/>
      <c r="N322" s="66"/>
      <c r="O322" s="66"/>
      <c r="P322" s="57"/>
    </row>
    <row r="323" spans="1:16" s="58" customFormat="1" ht="12" hidden="1" x14ac:dyDescent="0.2">
      <c r="A323" s="38" t="s">
        <v>246</v>
      </c>
      <c r="B323" s="39"/>
      <c r="C323" s="39" t="s">
        <v>100</v>
      </c>
      <c r="D323" s="40" t="s">
        <v>48</v>
      </c>
      <c r="E323" s="41" t="s">
        <v>7</v>
      </c>
      <c r="F323" s="45"/>
      <c r="G323" s="45"/>
      <c r="H323" s="45"/>
      <c r="I323" s="45"/>
      <c r="J323" s="45"/>
      <c r="K323" s="65"/>
      <c r="L323" s="55"/>
      <c r="M323" s="56"/>
      <c r="N323" s="66"/>
      <c r="O323" s="66"/>
      <c r="P323" s="57"/>
    </row>
    <row r="324" spans="1:16" s="58" customFormat="1" ht="12" x14ac:dyDescent="0.2">
      <c r="A324" s="38" t="s">
        <v>246</v>
      </c>
      <c r="B324" s="39"/>
      <c r="C324" s="39" t="s">
        <v>100</v>
      </c>
      <c r="D324" s="40" t="s">
        <v>48</v>
      </c>
      <c r="E324" s="41" t="s">
        <v>7</v>
      </c>
      <c r="F324" s="45">
        <v>1</v>
      </c>
      <c r="G324" s="45">
        <v>2329.59</v>
      </c>
      <c r="H324" s="45">
        <v>1719.67</v>
      </c>
      <c r="I324" s="45">
        <f>ROUND(H324*(1+$E$168),2)</f>
        <v>2080.2800000000002</v>
      </c>
      <c r="J324" s="45">
        <f t="shared" ref="J324" si="60">ROUND(F324*I324,2)</f>
        <v>2080.2800000000002</v>
      </c>
      <c r="K324" s="65"/>
      <c r="L324" s="55"/>
      <c r="M324" s="56"/>
      <c r="N324" s="66"/>
      <c r="O324" s="66"/>
      <c r="P324" s="57"/>
    </row>
    <row r="325" spans="1:16" s="58" customFormat="1" ht="12" x14ac:dyDescent="0.2">
      <c r="A325" s="38" t="s">
        <v>247</v>
      </c>
      <c r="B325" s="39"/>
      <c r="C325" s="39" t="s">
        <v>100</v>
      </c>
      <c r="D325" s="40" t="s">
        <v>142</v>
      </c>
      <c r="E325" s="41" t="s">
        <v>7</v>
      </c>
      <c r="F325" s="45">
        <v>8</v>
      </c>
      <c r="G325" s="45">
        <v>2072.64</v>
      </c>
      <c r="H325" s="45">
        <v>3356.59</v>
      </c>
      <c r="I325" s="45">
        <f>ROUND(H325*(1+$E$168),2)</f>
        <v>4060.47</v>
      </c>
      <c r="J325" s="45">
        <f>ROUND(F325*I325,2)</f>
        <v>32483.759999999998</v>
      </c>
      <c r="K325" s="65"/>
      <c r="L325" s="55"/>
      <c r="M325" s="56"/>
      <c r="N325" s="66"/>
      <c r="O325" s="66"/>
      <c r="P325" s="57"/>
    </row>
    <row r="326" spans="1:16" s="8" customFormat="1" ht="12" x14ac:dyDescent="0.2">
      <c r="A326" s="10" t="s">
        <v>219</v>
      </c>
      <c r="B326" s="11"/>
      <c r="C326" s="11"/>
      <c r="D326" s="12" t="s">
        <v>143</v>
      </c>
      <c r="E326" s="13"/>
      <c r="F326" s="46"/>
      <c r="G326" s="46"/>
      <c r="H326" s="46"/>
      <c r="I326" s="46"/>
      <c r="J326" s="50"/>
      <c r="K326" s="161"/>
      <c r="L326" s="26"/>
      <c r="M326" s="15"/>
      <c r="N326" s="164"/>
      <c r="O326" s="164"/>
      <c r="P326" s="17"/>
    </row>
    <row r="327" spans="1:16" s="8" customFormat="1" ht="12" hidden="1" x14ac:dyDescent="0.2">
      <c r="A327" s="38" t="s">
        <v>58</v>
      </c>
      <c r="B327" s="11"/>
      <c r="C327" s="11" t="s">
        <v>100</v>
      </c>
      <c r="D327" s="12" t="s">
        <v>48</v>
      </c>
      <c r="E327" s="13" t="s">
        <v>7</v>
      </c>
      <c r="F327" s="46"/>
      <c r="G327" s="46"/>
      <c r="H327" s="46"/>
      <c r="I327" s="46"/>
      <c r="J327" s="50"/>
      <c r="K327" s="161"/>
      <c r="L327" s="26"/>
      <c r="M327" s="15"/>
      <c r="N327" s="164"/>
      <c r="O327" s="164"/>
      <c r="P327" s="17"/>
    </row>
    <row r="328" spans="1:16" s="58" customFormat="1" ht="12" x14ac:dyDescent="0.2">
      <c r="A328" s="38" t="s">
        <v>248</v>
      </c>
      <c r="B328" s="39"/>
      <c r="C328" s="39" t="s">
        <v>100</v>
      </c>
      <c r="D328" s="40" t="s">
        <v>46</v>
      </c>
      <c r="E328" s="41" t="s">
        <v>7</v>
      </c>
      <c r="F328" s="45">
        <v>2</v>
      </c>
      <c r="G328" s="45">
        <v>334.93</v>
      </c>
      <c r="H328" s="45">
        <v>802.58</v>
      </c>
      <c r="I328" s="45">
        <f>ROUND(H328*(1+$E$168),2)</f>
        <v>970.88</v>
      </c>
      <c r="J328" s="45">
        <f t="shared" ref="J328:J329" si="61">ROUND(F328*I328,2)</f>
        <v>1941.76</v>
      </c>
      <c r="K328" s="65"/>
      <c r="L328" s="55"/>
      <c r="M328" s="56"/>
      <c r="N328" s="66"/>
      <c r="O328" s="66"/>
      <c r="P328" s="57"/>
    </row>
    <row r="329" spans="1:16" s="58" customFormat="1" ht="12" x14ac:dyDescent="0.2">
      <c r="A329" s="38" t="s">
        <v>249</v>
      </c>
      <c r="B329" s="39"/>
      <c r="C329" s="39" t="s">
        <v>100</v>
      </c>
      <c r="D329" s="40" t="s">
        <v>47</v>
      </c>
      <c r="E329" s="41" t="s">
        <v>7</v>
      </c>
      <c r="F329" s="45">
        <v>5</v>
      </c>
      <c r="G329" s="45">
        <v>507.1</v>
      </c>
      <c r="H329" s="45">
        <v>1205.56</v>
      </c>
      <c r="I329" s="45">
        <f>ROUND(H329*(1+$E$168),2)</f>
        <v>1458.37</v>
      </c>
      <c r="J329" s="45">
        <f t="shared" si="61"/>
        <v>7291.85</v>
      </c>
      <c r="K329" s="65"/>
      <c r="L329" s="55"/>
      <c r="M329" s="56"/>
      <c r="N329" s="66"/>
      <c r="O329" s="66"/>
      <c r="P329" s="57"/>
    </row>
    <row r="330" spans="1:16" s="58" customFormat="1" ht="12" hidden="1" x14ac:dyDescent="0.2">
      <c r="A330" s="38" t="s">
        <v>250</v>
      </c>
      <c r="B330" s="39"/>
      <c r="C330" s="39" t="s">
        <v>100</v>
      </c>
      <c r="D330" s="40" t="s">
        <v>48</v>
      </c>
      <c r="E330" s="41" t="s">
        <v>7</v>
      </c>
      <c r="F330" s="45"/>
      <c r="G330" s="45"/>
      <c r="H330" s="45"/>
      <c r="I330" s="45"/>
      <c r="J330" s="45"/>
      <c r="K330" s="65"/>
      <c r="L330" s="55"/>
      <c r="M330" s="56"/>
      <c r="N330" s="66"/>
      <c r="O330" s="66"/>
      <c r="P330" s="57"/>
    </row>
    <row r="331" spans="1:16" s="58" customFormat="1" ht="12" x14ac:dyDescent="0.2">
      <c r="A331" s="38" t="s">
        <v>250</v>
      </c>
      <c r="B331" s="39"/>
      <c r="C331" s="39" t="s">
        <v>100</v>
      </c>
      <c r="D331" s="40" t="s">
        <v>48</v>
      </c>
      <c r="E331" s="41" t="s">
        <v>7</v>
      </c>
      <c r="F331" s="45">
        <v>1</v>
      </c>
      <c r="G331" s="45">
        <v>7913.53</v>
      </c>
      <c r="H331" s="45">
        <v>1582.29</v>
      </c>
      <c r="I331" s="45">
        <f>ROUND(H331*(1+$E$168),2)</f>
        <v>1914.1</v>
      </c>
      <c r="J331" s="45">
        <f>ROUND(F331*I331,2)</f>
        <v>1914.1</v>
      </c>
      <c r="K331" s="65"/>
      <c r="L331" s="55"/>
      <c r="M331" s="56"/>
      <c r="N331" s="66"/>
      <c r="O331" s="66"/>
      <c r="P331" s="57"/>
    </row>
    <row r="332" spans="1:16" s="58" customFormat="1" ht="12" x14ac:dyDescent="0.2">
      <c r="A332" s="38" t="s">
        <v>251</v>
      </c>
      <c r="B332" s="39"/>
      <c r="C332" s="39" t="s">
        <v>100</v>
      </c>
      <c r="D332" s="40" t="s">
        <v>142</v>
      </c>
      <c r="E332" s="41" t="s">
        <v>7</v>
      </c>
      <c r="F332" s="45">
        <v>2</v>
      </c>
      <c r="G332" s="45">
        <v>2072.64</v>
      </c>
      <c r="H332" s="45">
        <v>3403.53</v>
      </c>
      <c r="I332" s="45">
        <f>ROUND(H332*(1+$E$168),2)</f>
        <v>4117.25</v>
      </c>
      <c r="J332" s="45">
        <f t="shared" ref="J332" si="62">ROUND(F332*I332,2)</f>
        <v>8234.5</v>
      </c>
      <c r="K332" s="65"/>
      <c r="L332" s="55"/>
      <c r="M332" s="56"/>
      <c r="N332" s="66"/>
      <c r="O332" s="66"/>
      <c r="P332" s="57"/>
    </row>
    <row r="333" spans="1:16" s="8" customFormat="1" ht="12" hidden="1" x14ac:dyDescent="0.2">
      <c r="A333" s="10" t="s">
        <v>59</v>
      </c>
      <c r="B333" s="11" t="s">
        <v>24</v>
      </c>
      <c r="C333" s="11" t="s">
        <v>1</v>
      </c>
      <c r="D333" s="12" t="s">
        <v>49</v>
      </c>
      <c r="E333" s="13" t="s">
        <v>7</v>
      </c>
      <c r="F333" s="46"/>
      <c r="G333" s="46"/>
      <c r="H333" s="46"/>
      <c r="I333" s="46"/>
      <c r="J333" s="50"/>
      <c r="K333" s="161"/>
      <c r="L333" s="26"/>
      <c r="M333" s="15"/>
      <c r="N333" s="164"/>
      <c r="O333" s="164"/>
      <c r="P333" s="17"/>
    </row>
    <row r="334" spans="1:16" s="8" customFormat="1" ht="12" hidden="1" x14ac:dyDescent="0.2">
      <c r="A334" s="10" t="s">
        <v>60</v>
      </c>
      <c r="B334" s="11" t="s">
        <v>23</v>
      </c>
      <c r="C334" s="11" t="s">
        <v>15</v>
      </c>
      <c r="D334" s="12" t="s">
        <v>144</v>
      </c>
      <c r="E334" s="13" t="s">
        <v>7</v>
      </c>
      <c r="F334" s="46"/>
      <c r="G334" s="46"/>
      <c r="H334" s="46"/>
      <c r="I334" s="46"/>
      <c r="J334" s="50"/>
      <c r="K334" s="161"/>
      <c r="L334" s="26"/>
      <c r="M334" s="15"/>
      <c r="N334" s="164"/>
      <c r="O334" s="164"/>
      <c r="P334" s="17"/>
    </row>
    <row r="335" spans="1:16" s="8" customFormat="1" ht="12" x14ac:dyDescent="0.2">
      <c r="A335" s="10" t="s">
        <v>220</v>
      </c>
      <c r="B335" s="11"/>
      <c r="C335" s="11"/>
      <c r="D335" s="12" t="s">
        <v>38</v>
      </c>
      <c r="E335" s="13"/>
      <c r="F335" s="46"/>
      <c r="G335" s="46"/>
      <c r="H335" s="46"/>
      <c r="I335" s="46"/>
      <c r="J335" s="46"/>
      <c r="K335" s="161"/>
      <c r="L335" s="26"/>
      <c r="M335" s="15"/>
      <c r="N335" s="164"/>
      <c r="O335" s="164"/>
      <c r="P335" s="17"/>
    </row>
    <row r="336" spans="1:16" s="8" customFormat="1" ht="12" x14ac:dyDescent="0.2">
      <c r="A336" s="10" t="s">
        <v>252</v>
      </c>
      <c r="B336" s="11"/>
      <c r="C336" s="11"/>
      <c r="D336" s="12" t="s">
        <v>39</v>
      </c>
      <c r="E336" s="13"/>
      <c r="F336" s="46"/>
      <c r="G336" s="46"/>
      <c r="H336" s="46"/>
      <c r="I336" s="46"/>
      <c r="J336" s="46"/>
      <c r="K336" s="161"/>
      <c r="L336" s="26"/>
      <c r="M336" s="15"/>
      <c r="N336" s="164"/>
      <c r="O336" s="164"/>
      <c r="P336" s="17"/>
    </row>
    <row r="337" spans="1:39" s="58" customFormat="1" ht="12" x14ac:dyDescent="0.2">
      <c r="A337" s="38" t="s">
        <v>380</v>
      </c>
      <c r="B337" s="39" t="s">
        <v>24</v>
      </c>
      <c r="C337" s="52" t="s">
        <v>497</v>
      </c>
      <c r="D337" s="40" t="s">
        <v>498</v>
      </c>
      <c r="E337" s="41" t="s">
        <v>9</v>
      </c>
      <c r="F337" s="45">
        <f>45+306</f>
        <v>351</v>
      </c>
      <c r="G337" s="45">
        <v>7.72</v>
      </c>
      <c r="H337" s="45">
        <v>45.65</v>
      </c>
      <c r="I337" s="45">
        <f>ROUND(H337*(1+$E$168),2)</f>
        <v>55.22</v>
      </c>
      <c r="J337" s="45">
        <f t="shared" ref="J337:J340" si="63">ROUND(F337*I337,2)</f>
        <v>19382.22</v>
      </c>
      <c r="K337" s="65"/>
      <c r="L337" s="55"/>
      <c r="M337" s="56"/>
      <c r="N337" s="66"/>
      <c r="O337" s="66"/>
      <c r="P337" s="57"/>
    </row>
    <row r="338" spans="1:39" s="8" customFormat="1" ht="12" x14ac:dyDescent="0.2">
      <c r="A338" s="38" t="s">
        <v>381</v>
      </c>
      <c r="B338" s="39" t="s">
        <v>23</v>
      </c>
      <c r="C338" s="39">
        <v>2003849</v>
      </c>
      <c r="D338" s="40" t="s">
        <v>212</v>
      </c>
      <c r="E338" s="41" t="s">
        <v>239</v>
      </c>
      <c r="F338" s="45">
        <v>70.989999999999995</v>
      </c>
      <c r="G338" s="45">
        <v>91.67</v>
      </c>
      <c r="H338" s="45">
        <v>66.44</v>
      </c>
      <c r="I338" s="45">
        <f>ROUND(H338*(1+$E$168),2)</f>
        <v>80.37</v>
      </c>
      <c r="J338" s="45">
        <f>ROUND(F338*I338,2)</f>
        <v>5705.47</v>
      </c>
      <c r="K338" s="161"/>
      <c r="L338" s="26"/>
      <c r="M338" s="15"/>
      <c r="N338" s="164"/>
      <c r="O338" s="164"/>
      <c r="P338" s="17"/>
    </row>
    <row r="339" spans="1:39" s="8" customFormat="1" ht="12" x14ac:dyDescent="0.2">
      <c r="A339" s="38" t="s">
        <v>382</v>
      </c>
      <c r="B339" s="39" t="s">
        <v>24</v>
      </c>
      <c r="C339" s="39">
        <v>72844</v>
      </c>
      <c r="D339" s="40" t="s">
        <v>175</v>
      </c>
      <c r="E339" s="41" t="s">
        <v>8</v>
      </c>
      <c r="F339" s="45">
        <f>ROUND(1.8*F338,2)</f>
        <v>127.78</v>
      </c>
      <c r="G339" s="45">
        <v>0.66</v>
      </c>
      <c r="H339" s="45">
        <v>0.7</v>
      </c>
      <c r="I339" s="45">
        <f>ROUND(H339*(1+$E$168),2)</f>
        <v>0.85</v>
      </c>
      <c r="J339" s="45">
        <f t="shared" si="63"/>
        <v>108.61</v>
      </c>
      <c r="K339" s="161"/>
      <c r="L339" s="26"/>
      <c r="M339" s="15"/>
      <c r="N339" s="164"/>
      <c r="O339" s="164"/>
      <c r="P339" s="17"/>
    </row>
    <row r="340" spans="1:39" s="58" customFormat="1" ht="12" x14ac:dyDescent="0.2">
      <c r="A340" s="38" t="s">
        <v>383</v>
      </c>
      <c r="B340" s="39" t="s">
        <v>23</v>
      </c>
      <c r="C340" s="39">
        <v>5914389</v>
      </c>
      <c r="D340" s="40" t="s">
        <v>145</v>
      </c>
      <c r="E340" s="41" t="s">
        <v>35</v>
      </c>
      <c r="F340" s="45">
        <f>ROUND((F339*9),2)</f>
        <v>1150.02</v>
      </c>
      <c r="G340" s="45">
        <v>0.4</v>
      </c>
      <c r="H340" s="45">
        <v>0.47</v>
      </c>
      <c r="I340" s="45">
        <f>ROUND(H340*(1+$E$168),2)</f>
        <v>0.56999999999999995</v>
      </c>
      <c r="J340" s="45">
        <f t="shared" si="63"/>
        <v>655.51</v>
      </c>
      <c r="K340" s="161"/>
      <c r="L340" s="26"/>
      <c r="M340" s="15"/>
      <c r="N340" s="164"/>
      <c r="O340" s="164"/>
      <c r="P340" s="17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</row>
    <row r="341" spans="1:39" s="8" customFormat="1" ht="12" x14ac:dyDescent="0.2">
      <c r="A341" s="10" t="s">
        <v>384</v>
      </c>
      <c r="B341" s="11"/>
      <c r="C341" s="11"/>
      <c r="D341" s="180" t="s">
        <v>40</v>
      </c>
      <c r="E341" s="13"/>
      <c r="F341" s="46"/>
      <c r="G341" s="46"/>
      <c r="H341" s="46"/>
      <c r="I341" s="46"/>
      <c r="J341" s="50"/>
      <c r="K341" s="161"/>
      <c r="L341" s="26"/>
      <c r="M341" s="15"/>
      <c r="N341" s="164"/>
      <c r="O341" s="164"/>
      <c r="P341" s="17"/>
    </row>
    <row r="342" spans="1:39" s="58" customFormat="1" ht="12" x14ac:dyDescent="0.2">
      <c r="A342" s="38" t="s">
        <v>385</v>
      </c>
      <c r="B342" s="39" t="s">
        <v>23</v>
      </c>
      <c r="C342" s="52" t="s">
        <v>378</v>
      </c>
      <c r="D342" s="40" t="s">
        <v>379</v>
      </c>
      <c r="E342" s="41" t="s">
        <v>7</v>
      </c>
      <c r="F342" s="45">
        <v>2</v>
      </c>
      <c r="G342" s="45">
        <v>299.27999999999997</v>
      </c>
      <c r="H342" s="45">
        <v>3268.07</v>
      </c>
      <c r="I342" s="45">
        <f>ROUND(H342*(1+$E$168),2)</f>
        <v>3953.38</v>
      </c>
      <c r="J342" s="45">
        <f t="shared" ref="J342" si="64">ROUND(F342*I342,2)</f>
        <v>7906.76</v>
      </c>
      <c r="K342" s="161"/>
      <c r="L342" s="26"/>
      <c r="M342" s="15"/>
      <c r="N342" s="164"/>
      <c r="O342" s="164"/>
      <c r="P342" s="17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</row>
    <row r="343" spans="1:39" s="8" customFormat="1" ht="11.25" customHeight="1" x14ac:dyDescent="0.2">
      <c r="A343" s="53" t="s">
        <v>485</v>
      </c>
      <c r="B343" s="60"/>
      <c r="C343" s="263"/>
      <c r="D343" s="111" t="s">
        <v>491</v>
      </c>
      <c r="E343" s="62"/>
      <c r="F343" s="173"/>
      <c r="G343" s="63"/>
      <c r="H343" s="63"/>
      <c r="I343" s="63"/>
      <c r="J343" s="63"/>
      <c r="K343" s="24"/>
      <c r="L343" s="26"/>
      <c r="M343" s="264"/>
      <c r="N343" s="16"/>
      <c r="O343" s="16"/>
      <c r="P343" s="17"/>
    </row>
    <row r="344" spans="1:39" s="58" customFormat="1" ht="12" x14ac:dyDescent="0.2">
      <c r="A344" s="38" t="s">
        <v>486</v>
      </c>
      <c r="B344" s="39" t="s">
        <v>24</v>
      </c>
      <c r="C344" s="39">
        <v>94963</v>
      </c>
      <c r="D344" s="40" t="s">
        <v>479</v>
      </c>
      <c r="E344" s="41" t="s">
        <v>5</v>
      </c>
      <c r="F344" s="45">
        <f>109.8*0.34</f>
        <v>37.332000000000001</v>
      </c>
      <c r="G344" s="45">
        <v>299.27999999999997</v>
      </c>
      <c r="H344" s="45">
        <v>277.85000000000002</v>
      </c>
      <c r="I344" s="42">
        <f t="shared" ref="I344:I352" si="65">ROUND(H344*(1+$E$168),2)</f>
        <v>336.12</v>
      </c>
      <c r="J344" s="45">
        <f t="shared" ref="J344:J347" si="66">ROUND(F344*I344,2)</f>
        <v>12548.03</v>
      </c>
      <c r="K344" s="65"/>
      <c r="L344" s="55"/>
      <c r="M344" s="56"/>
      <c r="N344" s="66"/>
      <c r="O344" s="66"/>
      <c r="P344" s="57"/>
    </row>
    <row r="345" spans="1:39" s="58" customFormat="1" ht="12" x14ac:dyDescent="0.2">
      <c r="A345" s="38" t="s">
        <v>487</v>
      </c>
      <c r="B345" s="39" t="s">
        <v>24</v>
      </c>
      <c r="C345" s="39" t="s">
        <v>87</v>
      </c>
      <c r="D345" s="40" t="s">
        <v>480</v>
      </c>
      <c r="E345" s="41" t="s">
        <v>5</v>
      </c>
      <c r="F345" s="45">
        <f>F344</f>
        <v>37.332000000000001</v>
      </c>
      <c r="G345" s="45">
        <v>101.01</v>
      </c>
      <c r="H345" s="45">
        <v>109.19</v>
      </c>
      <c r="I345" s="42">
        <f t="shared" si="65"/>
        <v>132.09</v>
      </c>
      <c r="J345" s="45">
        <f t="shared" si="66"/>
        <v>4931.18</v>
      </c>
      <c r="K345" s="65"/>
      <c r="L345" s="55"/>
      <c r="M345" s="56"/>
      <c r="N345" s="66"/>
      <c r="O345" s="66"/>
      <c r="P345" s="57"/>
    </row>
    <row r="346" spans="1:39" s="58" customFormat="1" ht="12" x14ac:dyDescent="0.2">
      <c r="A346" s="38" t="s">
        <v>488</v>
      </c>
      <c r="B346" s="39" t="s">
        <v>23</v>
      </c>
      <c r="C346" s="39">
        <v>3103302</v>
      </c>
      <c r="D346" s="40" t="s">
        <v>482</v>
      </c>
      <c r="E346" s="41" t="s">
        <v>6</v>
      </c>
      <c r="F346" s="45">
        <f>109.8*0.44</f>
        <v>48.311999999999998</v>
      </c>
      <c r="G346" s="45">
        <v>26.42</v>
      </c>
      <c r="H346" s="45">
        <v>58.22</v>
      </c>
      <c r="I346" s="42">
        <f t="shared" si="65"/>
        <v>70.430000000000007</v>
      </c>
      <c r="J346" s="45">
        <f t="shared" si="66"/>
        <v>3402.61</v>
      </c>
      <c r="K346" s="65"/>
      <c r="L346" s="55"/>
      <c r="M346" s="56"/>
      <c r="N346" s="66"/>
      <c r="O346" s="66"/>
      <c r="P346" s="57"/>
    </row>
    <row r="347" spans="1:39" s="58" customFormat="1" ht="12" x14ac:dyDescent="0.2">
      <c r="A347" s="38" t="s">
        <v>489</v>
      </c>
      <c r="B347" s="39" t="s">
        <v>24</v>
      </c>
      <c r="C347" s="39" t="s">
        <v>3</v>
      </c>
      <c r="D347" s="40" t="s">
        <v>481</v>
      </c>
      <c r="E347" s="41" t="s">
        <v>4</v>
      </c>
      <c r="F347" s="45">
        <f>109.8*8.96</f>
        <v>983.80800000000011</v>
      </c>
      <c r="G347" s="45">
        <v>6.34</v>
      </c>
      <c r="H347" s="45">
        <v>6.29</v>
      </c>
      <c r="I347" s="42">
        <f t="shared" si="65"/>
        <v>7.61</v>
      </c>
      <c r="J347" s="45">
        <f t="shared" si="66"/>
        <v>7486.78</v>
      </c>
      <c r="K347" s="65"/>
      <c r="L347" s="55"/>
      <c r="M347" s="56"/>
      <c r="N347" s="66"/>
      <c r="O347" s="66"/>
      <c r="P347" s="57"/>
    </row>
    <row r="348" spans="1:39" s="8" customFormat="1" ht="12" x14ac:dyDescent="0.2">
      <c r="A348" s="53" t="s">
        <v>492</v>
      </c>
      <c r="B348" s="60"/>
      <c r="C348" s="263"/>
      <c r="D348" s="111" t="s">
        <v>490</v>
      </c>
      <c r="E348" s="62"/>
      <c r="F348" s="173"/>
      <c r="G348" s="63"/>
      <c r="H348" s="63"/>
      <c r="I348" s="63"/>
      <c r="J348" s="63"/>
      <c r="K348" s="24"/>
      <c r="L348" s="26"/>
      <c r="M348" s="264"/>
      <c r="N348" s="16"/>
      <c r="O348" s="16"/>
      <c r="P348" s="17"/>
    </row>
    <row r="349" spans="1:39" s="58" customFormat="1" ht="12" x14ac:dyDescent="0.2">
      <c r="A349" s="38" t="s">
        <v>493</v>
      </c>
      <c r="B349" s="39" t="s">
        <v>24</v>
      </c>
      <c r="C349" s="39">
        <v>94963</v>
      </c>
      <c r="D349" s="40" t="s">
        <v>479</v>
      </c>
      <c r="E349" s="41" t="s">
        <v>5</v>
      </c>
      <c r="F349" s="45">
        <f>25.4*0.12</f>
        <v>3.0479999999999996</v>
      </c>
      <c r="G349" s="45">
        <v>299.27999999999997</v>
      </c>
      <c r="H349" s="45">
        <v>277.85000000000002</v>
      </c>
      <c r="I349" s="42">
        <f t="shared" si="65"/>
        <v>336.12</v>
      </c>
      <c r="J349" s="45">
        <f t="shared" ref="J349:J352" si="67">ROUND(F349*I349,2)</f>
        <v>1024.49</v>
      </c>
      <c r="K349" s="65"/>
      <c r="L349" s="55"/>
      <c r="M349" s="56"/>
      <c r="N349" s="66"/>
      <c r="O349" s="66"/>
      <c r="P349" s="57"/>
    </row>
    <row r="350" spans="1:39" s="58" customFormat="1" ht="12" x14ac:dyDescent="0.2">
      <c r="A350" s="38" t="s">
        <v>494</v>
      </c>
      <c r="B350" s="39" t="s">
        <v>24</v>
      </c>
      <c r="C350" s="39" t="s">
        <v>87</v>
      </c>
      <c r="D350" s="40" t="s">
        <v>480</v>
      </c>
      <c r="E350" s="41" t="s">
        <v>5</v>
      </c>
      <c r="F350" s="45">
        <f>F349</f>
        <v>3.0479999999999996</v>
      </c>
      <c r="G350" s="45">
        <v>101.01</v>
      </c>
      <c r="H350" s="45">
        <v>109.19</v>
      </c>
      <c r="I350" s="42">
        <f t="shared" si="65"/>
        <v>132.09</v>
      </c>
      <c r="J350" s="45">
        <f t="shared" si="67"/>
        <v>402.61</v>
      </c>
      <c r="K350" s="65"/>
      <c r="L350" s="55"/>
      <c r="M350" s="56"/>
      <c r="N350" s="66"/>
      <c r="O350" s="66"/>
      <c r="P350" s="57"/>
    </row>
    <row r="351" spans="1:39" s="58" customFormat="1" ht="12" x14ac:dyDescent="0.2">
      <c r="A351" s="38" t="s">
        <v>495</v>
      </c>
      <c r="B351" s="39" t="s">
        <v>23</v>
      </c>
      <c r="C351" s="39">
        <v>3103302</v>
      </c>
      <c r="D351" s="40" t="s">
        <v>482</v>
      </c>
      <c r="E351" s="41" t="s">
        <v>6</v>
      </c>
      <c r="F351" s="45">
        <f>25.4*0.2</f>
        <v>5.08</v>
      </c>
      <c r="G351" s="45">
        <v>26.42</v>
      </c>
      <c r="H351" s="45">
        <v>58.22</v>
      </c>
      <c r="I351" s="42">
        <f t="shared" si="65"/>
        <v>70.430000000000007</v>
      </c>
      <c r="J351" s="45">
        <f t="shared" si="67"/>
        <v>357.78</v>
      </c>
      <c r="K351" s="65"/>
      <c r="L351" s="55"/>
      <c r="M351" s="56"/>
      <c r="N351" s="66"/>
      <c r="O351" s="66"/>
      <c r="P351" s="57"/>
    </row>
    <row r="352" spans="1:39" s="58" customFormat="1" ht="12" x14ac:dyDescent="0.2">
      <c r="A352" s="38" t="s">
        <v>496</v>
      </c>
      <c r="B352" s="39" t="s">
        <v>24</v>
      </c>
      <c r="C352" s="39" t="s">
        <v>3</v>
      </c>
      <c r="D352" s="40" t="s">
        <v>481</v>
      </c>
      <c r="E352" s="41" t="s">
        <v>4</v>
      </c>
      <c r="F352" s="45">
        <f>25.4*2.55</f>
        <v>64.77</v>
      </c>
      <c r="G352" s="45">
        <v>6.34</v>
      </c>
      <c r="H352" s="45">
        <v>6.29</v>
      </c>
      <c r="I352" s="42">
        <f t="shared" si="65"/>
        <v>7.61</v>
      </c>
      <c r="J352" s="45">
        <f t="shared" si="67"/>
        <v>492.9</v>
      </c>
      <c r="K352" s="65"/>
      <c r="L352" s="55"/>
      <c r="M352" s="56"/>
      <c r="N352" s="66"/>
      <c r="O352" s="66"/>
      <c r="P352" s="57"/>
    </row>
    <row r="353" spans="1:39" s="8" customFormat="1" ht="12" x14ac:dyDescent="0.2">
      <c r="A353" s="10" t="s">
        <v>221</v>
      </c>
      <c r="B353" s="11"/>
      <c r="C353" s="11"/>
      <c r="D353" s="12" t="s">
        <v>43</v>
      </c>
      <c r="E353" s="13"/>
      <c r="F353" s="46"/>
      <c r="G353" s="46"/>
      <c r="H353" s="46"/>
      <c r="I353" s="46"/>
      <c r="J353" s="50"/>
      <c r="K353" s="161"/>
      <c r="L353" s="26"/>
      <c r="M353" s="15"/>
      <c r="N353" s="164"/>
      <c r="O353" s="164"/>
      <c r="P353" s="17"/>
    </row>
    <row r="354" spans="1:39" s="58" customFormat="1" ht="24" x14ac:dyDescent="0.2">
      <c r="A354" s="38" t="s">
        <v>253</v>
      </c>
      <c r="B354" s="39" t="s">
        <v>24</v>
      </c>
      <c r="C354" s="39">
        <v>6077</v>
      </c>
      <c r="D354" s="40" t="s">
        <v>178</v>
      </c>
      <c r="E354" s="41" t="s">
        <v>239</v>
      </c>
      <c r="F354" s="45">
        <v>1150.46</v>
      </c>
      <c r="G354" s="45">
        <v>17.45</v>
      </c>
      <c r="H354" s="45">
        <v>20.21</v>
      </c>
      <c r="I354" s="45">
        <f>ROUND(H354*(1+$E$168),2)</f>
        <v>24.45</v>
      </c>
      <c r="J354" s="45">
        <f t="shared" ref="J354:J357" si="68">ROUND(F354*I354,2)</f>
        <v>28128.75</v>
      </c>
      <c r="K354" s="161"/>
      <c r="L354" s="26"/>
      <c r="M354" s="15"/>
      <c r="N354" s="164"/>
      <c r="O354" s="164"/>
      <c r="P354" s="17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</row>
    <row r="355" spans="1:39" s="8" customFormat="1" ht="12" x14ac:dyDescent="0.2">
      <c r="A355" s="38" t="s">
        <v>254</v>
      </c>
      <c r="B355" s="39" t="s">
        <v>24</v>
      </c>
      <c r="C355" s="39">
        <v>93368</v>
      </c>
      <c r="D355" s="40" t="s">
        <v>146</v>
      </c>
      <c r="E355" s="41" t="s">
        <v>239</v>
      </c>
      <c r="F355" s="45">
        <f>F354</f>
        <v>1150.46</v>
      </c>
      <c r="G355" s="45">
        <v>11.47</v>
      </c>
      <c r="H355" s="45">
        <v>11.21</v>
      </c>
      <c r="I355" s="45">
        <f>ROUND(H355*(1+$E$168),2)</f>
        <v>13.56</v>
      </c>
      <c r="J355" s="45">
        <f t="shared" si="68"/>
        <v>15600.24</v>
      </c>
      <c r="K355" s="161"/>
      <c r="L355" s="26"/>
      <c r="M355" s="15"/>
      <c r="N355" s="164"/>
      <c r="O355" s="164"/>
      <c r="P355" s="17"/>
    </row>
    <row r="356" spans="1:39" s="8" customFormat="1" ht="12" x14ac:dyDescent="0.2">
      <c r="A356" s="38" t="s">
        <v>386</v>
      </c>
      <c r="B356" s="39" t="s">
        <v>24</v>
      </c>
      <c r="C356" s="39">
        <v>72844</v>
      </c>
      <c r="D356" s="40" t="s">
        <v>175</v>
      </c>
      <c r="E356" s="41" t="s">
        <v>8</v>
      </c>
      <c r="F356" s="45">
        <f>ROUND(F355*1.46,2)</f>
        <v>1679.67</v>
      </c>
      <c r="G356" s="45">
        <v>0.66</v>
      </c>
      <c r="H356" s="45">
        <v>0.7</v>
      </c>
      <c r="I356" s="45">
        <f>ROUND(H356*(1+$E$168),2)</f>
        <v>0.85</v>
      </c>
      <c r="J356" s="45">
        <f t="shared" si="68"/>
        <v>1427.72</v>
      </c>
      <c r="K356" s="161"/>
      <c r="L356" s="26"/>
      <c r="M356" s="15"/>
      <c r="N356" s="164"/>
      <c r="O356" s="164"/>
      <c r="P356" s="17"/>
    </row>
    <row r="357" spans="1:39" s="58" customFormat="1" ht="12" x14ac:dyDescent="0.2">
      <c r="A357" s="38" t="s">
        <v>387</v>
      </c>
      <c r="B357" s="39" t="s">
        <v>23</v>
      </c>
      <c r="C357" s="39">
        <v>5914389</v>
      </c>
      <c r="D357" s="40" t="s">
        <v>145</v>
      </c>
      <c r="E357" s="41" t="s">
        <v>35</v>
      </c>
      <c r="F357" s="45">
        <f>ROUND(F356*9,2)</f>
        <v>15117.03</v>
      </c>
      <c r="G357" s="45">
        <v>0.4</v>
      </c>
      <c r="H357" s="45">
        <v>0.47</v>
      </c>
      <c r="I357" s="45">
        <f>ROUND(H357*(1+$E$168),2)</f>
        <v>0.56999999999999995</v>
      </c>
      <c r="J357" s="45">
        <f t="shared" si="68"/>
        <v>8616.7099999999991</v>
      </c>
      <c r="K357" s="161"/>
      <c r="L357" s="26"/>
      <c r="M357" s="15"/>
      <c r="N357" s="164"/>
      <c r="O357" s="164"/>
      <c r="P357" s="17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</row>
    <row r="358" spans="1:39" s="8" customFormat="1" ht="12" x14ac:dyDescent="0.2">
      <c r="A358" s="10" t="s">
        <v>237</v>
      </c>
      <c r="B358" s="11"/>
      <c r="C358" s="11"/>
      <c r="D358" s="12" t="s">
        <v>51</v>
      </c>
      <c r="E358" s="13"/>
      <c r="F358" s="46"/>
      <c r="G358" s="46"/>
      <c r="H358" s="46"/>
      <c r="I358" s="50"/>
      <c r="J358" s="50"/>
      <c r="K358" s="161"/>
      <c r="L358" s="26"/>
      <c r="M358" s="15"/>
      <c r="N358" s="164"/>
      <c r="O358" s="164"/>
      <c r="P358" s="17"/>
    </row>
    <row r="359" spans="1:39" s="8" customFormat="1" ht="12" x14ac:dyDescent="0.2">
      <c r="A359" s="38" t="s">
        <v>255</v>
      </c>
      <c r="B359" s="39" t="s">
        <v>24</v>
      </c>
      <c r="C359" s="52" t="s">
        <v>435</v>
      </c>
      <c r="D359" s="40" t="s">
        <v>436</v>
      </c>
      <c r="E359" s="41" t="s">
        <v>239</v>
      </c>
      <c r="F359" s="45">
        <v>71.246399999999994</v>
      </c>
      <c r="G359" s="45">
        <v>13.35</v>
      </c>
      <c r="H359" s="45">
        <v>65.56</v>
      </c>
      <c r="I359" s="45">
        <f>ROUND(H359*(1+$E$168),2)</f>
        <v>79.31</v>
      </c>
      <c r="J359" s="45">
        <f t="shared" ref="J359:J362" si="69">ROUND(F359*I359,2)</f>
        <v>5650.55</v>
      </c>
      <c r="K359" s="161"/>
      <c r="L359" s="26"/>
      <c r="M359" s="15"/>
      <c r="N359" s="164"/>
      <c r="O359" s="164"/>
      <c r="P359" s="17"/>
    </row>
    <row r="360" spans="1:39" s="8" customFormat="1" ht="24" x14ac:dyDescent="0.2">
      <c r="A360" s="38" t="s">
        <v>256</v>
      </c>
      <c r="B360" s="39" t="s">
        <v>23</v>
      </c>
      <c r="C360" s="52" t="s">
        <v>471</v>
      </c>
      <c r="D360" s="40" t="s">
        <v>434</v>
      </c>
      <c r="E360" s="41" t="s">
        <v>9</v>
      </c>
      <c r="F360" s="45">
        <v>96</v>
      </c>
      <c r="G360" s="45">
        <v>89</v>
      </c>
      <c r="H360" s="42">
        <v>59.6</v>
      </c>
      <c r="I360" s="45">
        <f>ROUND(H360*(1+$E$168),2)</f>
        <v>72.099999999999994</v>
      </c>
      <c r="J360" s="45">
        <f t="shared" si="69"/>
        <v>6921.6</v>
      </c>
      <c r="K360" s="161"/>
      <c r="L360" s="26"/>
      <c r="M360" s="15"/>
      <c r="N360" s="164"/>
      <c r="O360" s="164"/>
      <c r="P360" s="17"/>
    </row>
    <row r="361" spans="1:39" s="58" customFormat="1" ht="12" x14ac:dyDescent="0.2">
      <c r="A361" s="38" t="s">
        <v>257</v>
      </c>
      <c r="B361" s="39" t="s">
        <v>24</v>
      </c>
      <c r="C361" s="39">
        <v>72844</v>
      </c>
      <c r="D361" s="40" t="s">
        <v>175</v>
      </c>
      <c r="E361" s="41" t="s">
        <v>8</v>
      </c>
      <c r="F361" s="45">
        <f>F359*1.55</f>
        <v>110.43191999999999</v>
      </c>
      <c r="G361" s="45">
        <v>0.66</v>
      </c>
      <c r="H361" s="45">
        <v>0.7</v>
      </c>
      <c r="I361" s="45">
        <f>ROUND(H361*(1+$E$168),2)</f>
        <v>0.85</v>
      </c>
      <c r="J361" s="45">
        <f t="shared" si="69"/>
        <v>93.87</v>
      </c>
      <c r="K361" s="161"/>
      <c r="L361" s="26"/>
      <c r="M361" s="15"/>
      <c r="N361" s="164"/>
      <c r="O361" s="164"/>
      <c r="P361" s="17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</row>
    <row r="362" spans="1:39" s="58" customFormat="1" ht="12" x14ac:dyDescent="0.2">
      <c r="A362" s="38" t="s">
        <v>258</v>
      </c>
      <c r="B362" s="39" t="s">
        <v>23</v>
      </c>
      <c r="C362" s="39">
        <v>5914389</v>
      </c>
      <c r="D362" s="40" t="s">
        <v>145</v>
      </c>
      <c r="E362" s="41" t="s">
        <v>35</v>
      </c>
      <c r="F362" s="45">
        <f>ROUND((F361*9),2)</f>
        <v>993.89</v>
      </c>
      <c r="G362" s="45">
        <v>0.4</v>
      </c>
      <c r="H362" s="45">
        <v>0.47</v>
      </c>
      <c r="I362" s="45">
        <f>ROUND(H362*(1+$E$168),2)</f>
        <v>0.56999999999999995</v>
      </c>
      <c r="J362" s="45">
        <f t="shared" si="69"/>
        <v>566.52</v>
      </c>
      <c r="K362" s="161"/>
      <c r="L362" s="26"/>
      <c r="M362" s="15"/>
      <c r="N362" s="164"/>
      <c r="O362" s="164"/>
      <c r="P362" s="17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</row>
    <row r="363" spans="1:39" s="32" customFormat="1" ht="12" x14ac:dyDescent="0.2">
      <c r="A363" s="27"/>
      <c r="B363" s="28"/>
      <c r="C363" s="28"/>
      <c r="D363" s="29" t="s">
        <v>172</v>
      </c>
      <c r="E363" s="27"/>
      <c r="F363" s="48"/>
      <c r="G363" s="48"/>
      <c r="H363" s="48"/>
      <c r="I363" s="48"/>
      <c r="J363" s="49">
        <f>SUM(J308:J362)</f>
        <v>380195.29000000004</v>
      </c>
      <c r="K363" s="174"/>
      <c r="L363" s="33"/>
      <c r="M363" s="15"/>
      <c r="N363" s="9"/>
      <c r="O363" s="9"/>
      <c r="P363" s="9"/>
      <c r="Q363" s="8"/>
      <c r="R363" s="26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</row>
    <row r="364" spans="1:39" s="8" customFormat="1" ht="12" x14ac:dyDescent="0.2">
      <c r="A364" s="10"/>
      <c r="B364" s="11"/>
      <c r="C364" s="11"/>
      <c r="D364" s="12"/>
      <c r="E364" s="13"/>
      <c r="F364" s="46"/>
      <c r="G364" s="46"/>
      <c r="H364" s="46"/>
      <c r="I364" s="46"/>
      <c r="J364" s="46"/>
      <c r="K364" s="161"/>
      <c r="L364" s="26"/>
      <c r="M364" s="15"/>
      <c r="N364" s="9"/>
      <c r="O364" s="9"/>
      <c r="P364" s="9"/>
    </row>
    <row r="365" spans="1:39" s="8" customFormat="1" ht="12" x14ac:dyDescent="0.2">
      <c r="A365" s="25">
        <v>3</v>
      </c>
      <c r="B365" s="109"/>
      <c r="C365" s="109"/>
      <c r="D365" s="110" t="s">
        <v>72</v>
      </c>
      <c r="E365" s="112"/>
      <c r="F365" s="169"/>
      <c r="G365" s="169"/>
      <c r="H365" s="169"/>
      <c r="I365" s="169"/>
      <c r="J365" s="169"/>
      <c r="K365" s="161"/>
      <c r="L365" s="26"/>
      <c r="M365" s="15"/>
      <c r="N365" s="9"/>
      <c r="O365" s="9"/>
      <c r="P365" s="9"/>
    </row>
    <row r="366" spans="1:39" s="8" customFormat="1" ht="12" hidden="1" x14ac:dyDescent="0.2">
      <c r="A366" s="38" t="s">
        <v>62</v>
      </c>
      <c r="B366" s="39" t="s">
        <v>23</v>
      </c>
      <c r="C366" s="39" t="s">
        <v>13</v>
      </c>
      <c r="D366" s="40" t="s">
        <v>73</v>
      </c>
      <c r="E366" s="41" t="s">
        <v>6</v>
      </c>
      <c r="F366" s="45"/>
      <c r="G366" s="45">
        <v>0.73</v>
      </c>
      <c r="H366" s="45">
        <v>0.73</v>
      </c>
      <c r="I366" s="45">
        <f t="shared" ref="I366:I379" si="70">ROUND(H366*(1+$E$168),2)</f>
        <v>0.88</v>
      </c>
      <c r="J366" s="45">
        <f t="shared" ref="J366:J378" si="71">ROUND(F366*I366,2)</f>
        <v>0</v>
      </c>
      <c r="K366" s="161"/>
      <c r="L366" s="26"/>
      <c r="M366" s="15"/>
      <c r="N366" s="164"/>
      <c r="O366" s="164"/>
      <c r="P366" s="17"/>
    </row>
    <row r="367" spans="1:39" s="8" customFormat="1" ht="12" hidden="1" x14ac:dyDescent="0.2">
      <c r="A367" s="38" t="s">
        <v>63</v>
      </c>
      <c r="B367" s="39" t="s">
        <v>24</v>
      </c>
      <c r="C367" s="39">
        <v>6077</v>
      </c>
      <c r="D367" s="40" t="s">
        <v>179</v>
      </c>
      <c r="E367" s="41" t="s">
        <v>5</v>
      </c>
      <c r="F367" s="45"/>
      <c r="G367" s="45">
        <v>17.45</v>
      </c>
      <c r="H367" s="45">
        <v>17.45</v>
      </c>
      <c r="I367" s="45">
        <f t="shared" si="70"/>
        <v>21.11</v>
      </c>
      <c r="J367" s="45">
        <f t="shared" si="71"/>
        <v>0</v>
      </c>
      <c r="K367" s="161"/>
      <c r="L367" s="26"/>
      <c r="M367" s="15"/>
      <c r="N367" s="164"/>
      <c r="O367" s="164"/>
      <c r="P367" s="17"/>
    </row>
    <row r="368" spans="1:39" s="8" customFormat="1" ht="24" hidden="1" x14ac:dyDescent="0.2">
      <c r="A368" s="38" t="s">
        <v>64</v>
      </c>
      <c r="B368" s="39" t="s">
        <v>24</v>
      </c>
      <c r="C368" s="39">
        <v>41722</v>
      </c>
      <c r="D368" s="40" t="s">
        <v>75</v>
      </c>
      <c r="E368" s="41" t="s">
        <v>5</v>
      </c>
      <c r="F368" s="45"/>
      <c r="G368" s="45">
        <v>4.45</v>
      </c>
      <c r="H368" s="45">
        <v>4.45</v>
      </c>
      <c r="I368" s="45">
        <f t="shared" si="70"/>
        <v>5.38</v>
      </c>
      <c r="J368" s="45">
        <f t="shared" si="71"/>
        <v>0</v>
      </c>
      <c r="K368" s="161"/>
      <c r="L368" s="26"/>
      <c r="M368" s="15"/>
      <c r="N368" s="164"/>
      <c r="O368" s="164"/>
      <c r="P368" s="17"/>
    </row>
    <row r="369" spans="1:39" s="8" customFormat="1" ht="12" hidden="1" x14ac:dyDescent="0.2">
      <c r="A369" s="38" t="s">
        <v>65</v>
      </c>
      <c r="B369" s="39" t="s">
        <v>24</v>
      </c>
      <c r="C369" s="39" t="s">
        <v>0</v>
      </c>
      <c r="D369" s="40" t="s">
        <v>147</v>
      </c>
      <c r="E369" s="41" t="s">
        <v>5</v>
      </c>
      <c r="F369" s="45"/>
      <c r="G369" s="45">
        <v>114.33</v>
      </c>
      <c r="H369" s="45">
        <v>114.33</v>
      </c>
      <c r="I369" s="45">
        <f t="shared" si="70"/>
        <v>138.31</v>
      </c>
      <c r="J369" s="45">
        <f t="shared" si="71"/>
        <v>0</v>
      </c>
      <c r="K369" s="161"/>
      <c r="L369" s="26"/>
      <c r="M369" s="15"/>
      <c r="N369" s="164"/>
      <c r="O369" s="164"/>
      <c r="P369" s="17"/>
    </row>
    <row r="370" spans="1:39" s="8" customFormat="1" ht="12" x14ac:dyDescent="0.2">
      <c r="A370" s="38" t="s">
        <v>36</v>
      </c>
      <c r="B370" s="39" t="s">
        <v>23</v>
      </c>
      <c r="C370" s="39">
        <v>4011276</v>
      </c>
      <c r="D370" s="40" t="s">
        <v>148</v>
      </c>
      <c r="E370" s="41" t="s">
        <v>239</v>
      </c>
      <c r="F370" s="45">
        <f>ROUND(2766.19*0.16,2)</f>
        <v>442.59</v>
      </c>
      <c r="G370" s="45">
        <v>99.97</v>
      </c>
      <c r="H370" s="45">
        <v>97.1</v>
      </c>
      <c r="I370" s="45">
        <f t="shared" si="70"/>
        <v>117.46</v>
      </c>
      <c r="J370" s="45">
        <f t="shared" si="71"/>
        <v>51986.62</v>
      </c>
      <c r="K370" s="161"/>
      <c r="L370" s="26"/>
      <c r="M370" s="15"/>
      <c r="N370" s="164"/>
      <c r="O370" s="164"/>
      <c r="P370" s="17"/>
    </row>
    <row r="371" spans="1:39" s="8" customFormat="1" ht="12" x14ac:dyDescent="0.2">
      <c r="A371" s="38" t="s">
        <v>37</v>
      </c>
      <c r="B371" s="39" t="s">
        <v>23</v>
      </c>
      <c r="C371" s="39">
        <v>4011282</v>
      </c>
      <c r="D371" s="81" t="s">
        <v>271</v>
      </c>
      <c r="E371" s="41" t="s">
        <v>239</v>
      </c>
      <c r="F371" s="45">
        <f>ROUND(2766.19*0.25,2)</f>
        <v>691.55</v>
      </c>
      <c r="G371" s="45"/>
      <c r="H371" s="45">
        <v>79.67</v>
      </c>
      <c r="I371" s="45">
        <f t="shared" si="70"/>
        <v>96.38</v>
      </c>
      <c r="J371" s="45">
        <f t="shared" si="71"/>
        <v>66651.59</v>
      </c>
      <c r="K371" s="161"/>
      <c r="L371" s="26"/>
      <c r="M371" s="15"/>
      <c r="N371" s="164"/>
      <c r="O371" s="164"/>
      <c r="P371" s="17"/>
    </row>
    <row r="372" spans="1:39" s="8" customFormat="1" ht="12" x14ac:dyDescent="0.2">
      <c r="A372" s="38" t="s">
        <v>41</v>
      </c>
      <c r="B372" s="39" t="s">
        <v>24</v>
      </c>
      <c r="C372" s="39">
        <v>96401</v>
      </c>
      <c r="D372" s="40" t="s">
        <v>149</v>
      </c>
      <c r="E372" s="41" t="s">
        <v>377</v>
      </c>
      <c r="F372" s="45">
        <f>ROUND(801.14+155.82+624.49+8.72+15.02+14.84+901.51+117.5+18.15+109,2)</f>
        <v>2766.19</v>
      </c>
      <c r="G372" s="45">
        <v>4.8499999999999996</v>
      </c>
      <c r="H372" s="45">
        <v>4.12</v>
      </c>
      <c r="I372" s="45">
        <f t="shared" si="70"/>
        <v>4.9800000000000004</v>
      </c>
      <c r="J372" s="45">
        <f t="shared" si="71"/>
        <v>13775.63</v>
      </c>
      <c r="K372" s="161"/>
      <c r="L372" s="26"/>
      <c r="M372" s="15"/>
      <c r="N372" s="164"/>
      <c r="O372" s="164"/>
      <c r="P372" s="17"/>
    </row>
    <row r="373" spans="1:39" s="58" customFormat="1" ht="12" x14ac:dyDescent="0.2">
      <c r="A373" s="38" t="s">
        <v>42</v>
      </c>
      <c r="B373" s="39" t="s">
        <v>24</v>
      </c>
      <c r="C373" s="39">
        <v>72943</v>
      </c>
      <c r="D373" s="40" t="s">
        <v>150</v>
      </c>
      <c r="E373" s="41" t="s">
        <v>377</v>
      </c>
      <c r="F373" s="45">
        <f>ROUND(F372*2,2)</f>
        <v>5532.38</v>
      </c>
      <c r="G373" s="45">
        <v>1.39</v>
      </c>
      <c r="H373" s="45">
        <v>1.3</v>
      </c>
      <c r="I373" s="45">
        <f t="shared" si="70"/>
        <v>1.57</v>
      </c>
      <c r="J373" s="45">
        <f t="shared" si="71"/>
        <v>8685.84</v>
      </c>
      <c r="K373" s="161"/>
      <c r="L373" s="26"/>
      <c r="M373" s="15"/>
      <c r="N373" s="164"/>
      <c r="O373" s="164"/>
      <c r="P373" s="17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</row>
    <row r="374" spans="1:39" s="8" customFormat="1" ht="12" x14ac:dyDescent="0.2">
      <c r="A374" s="38" t="s">
        <v>44</v>
      </c>
      <c r="B374" s="39" t="s">
        <v>24</v>
      </c>
      <c r="C374" s="39">
        <v>95995</v>
      </c>
      <c r="D374" s="40" t="s">
        <v>151</v>
      </c>
      <c r="E374" s="41" t="s">
        <v>239</v>
      </c>
      <c r="F374" s="45">
        <v>276.62</v>
      </c>
      <c r="G374" s="45">
        <v>219.28</v>
      </c>
      <c r="H374" s="45">
        <v>690.21</v>
      </c>
      <c r="I374" s="45">
        <f t="shared" si="70"/>
        <v>834.95</v>
      </c>
      <c r="J374" s="45">
        <f t="shared" si="71"/>
        <v>230963.87</v>
      </c>
      <c r="K374" s="161"/>
      <c r="L374" s="26"/>
      <c r="M374" s="15"/>
      <c r="N374" s="164"/>
      <c r="O374" s="164"/>
      <c r="P374" s="17"/>
    </row>
    <row r="375" spans="1:39" s="8" customFormat="1" ht="24" x14ac:dyDescent="0.2">
      <c r="A375" s="38" t="s">
        <v>50</v>
      </c>
      <c r="B375" s="39" t="s">
        <v>24</v>
      </c>
      <c r="C375" s="39">
        <v>72846</v>
      </c>
      <c r="D375" s="40" t="s">
        <v>152</v>
      </c>
      <c r="E375" s="41" t="s">
        <v>8</v>
      </c>
      <c r="F375" s="45">
        <f>ROUND((F374*2.425),2)</f>
        <v>670.8</v>
      </c>
      <c r="G375" s="45">
        <v>3.25</v>
      </c>
      <c r="H375" s="45">
        <v>3.5</v>
      </c>
      <c r="I375" s="45">
        <f t="shared" si="70"/>
        <v>4.2300000000000004</v>
      </c>
      <c r="J375" s="45">
        <f t="shared" si="71"/>
        <v>2837.48</v>
      </c>
      <c r="K375" s="161"/>
      <c r="L375" s="26"/>
      <c r="M375" s="15"/>
      <c r="N375" s="164"/>
      <c r="O375" s="164"/>
      <c r="P375" s="17"/>
    </row>
    <row r="376" spans="1:39" s="58" customFormat="1" ht="12" x14ac:dyDescent="0.2">
      <c r="A376" s="38" t="s">
        <v>52</v>
      </c>
      <c r="B376" s="39" t="s">
        <v>24</v>
      </c>
      <c r="C376" s="39">
        <v>72844</v>
      </c>
      <c r="D376" s="40" t="s">
        <v>175</v>
      </c>
      <c r="E376" s="41" t="s">
        <v>8</v>
      </c>
      <c r="F376" s="45">
        <f>ROUND(((F370*2.4)+(F371*2.25)+(F379*2.425)),2)</f>
        <v>2700.87</v>
      </c>
      <c r="G376" s="45">
        <v>0.66</v>
      </c>
      <c r="H376" s="45">
        <v>0.7</v>
      </c>
      <c r="I376" s="45">
        <f t="shared" si="70"/>
        <v>0.85</v>
      </c>
      <c r="J376" s="45">
        <f t="shared" si="71"/>
        <v>2295.7399999999998</v>
      </c>
      <c r="K376" s="161"/>
      <c r="L376" s="26"/>
      <c r="M376" s="15"/>
      <c r="N376" s="164"/>
      <c r="O376" s="164"/>
      <c r="P376" s="17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</row>
    <row r="377" spans="1:39" s="58" customFormat="1" ht="12" x14ac:dyDescent="0.2">
      <c r="A377" s="38" t="s">
        <v>128</v>
      </c>
      <c r="B377" s="39" t="s">
        <v>23</v>
      </c>
      <c r="C377" s="39">
        <v>5914389</v>
      </c>
      <c r="D377" s="40" t="s">
        <v>145</v>
      </c>
      <c r="E377" s="41" t="s">
        <v>35</v>
      </c>
      <c r="F377" s="45">
        <f>ROUND((((F370*2.4)+(F371*2.25)*9)+((F379*2.425)*4)),2)</f>
        <v>15396.78</v>
      </c>
      <c r="G377" s="45">
        <v>0.4</v>
      </c>
      <c r="H377" s="45">
        <v>0.47</v>
      </c>
      <c r="I377" s="45">
        <f t="shared" si="70"/>
        <v>0.56999999999999995</v>
      </c>
      <c r="J377" s="45">
        <f t="shared" si="71"/>
        <v>8776.16</v>
      </c>
      <c r="K377" s="161"/>
      <c r="L377" s="26"/>
      <c r="M377" s="15"/>
      <c r="N377" s="164"/>
      <c r="O377" s="164"/>
      <c r="P377" s="17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</row>
    <row r="378" spans="1:39" s="58" customFormat="1" ht="12" x14ac:dyDescent="0.2">
      <c r="A378" s="38" t="s">
        <v>129</v>
      </c>
      <c r="B378" s="39" t="s">
        <v>24</v>
      </c>
      <c r="C378" s="39">
        <v>93177</v>
      </c>
      <c r="D378" s="40" t="s">
        <v>153</v>
      </c>
      <c r="E378" s="41" t="s">
        <v>35</v>
      </c>
      <c r="F378" s="45">
        <f>ROUND(F375*19,2)</f>
        <v>12745.2</v>
      </c>
      <c r="G378" s="45">
        <v>211.73147450201117</v>
      </c>
      <c r="H378" s="45">
        <v>1.44</v>
      </c>
      <c r="I378" s="45">
        <f t="shared" si="70"/>
        <v>1.74</v>
      </c>
      <c r="J378" s="45">
        <f t="shared" si="71"/>
        <v>22176.65</v>
      </c>
      <c r="K378" s="161"/>
      <c r="L378" s="26"/>
      <c r="M378" s="15"/>
      <c r="N378" s="164"/>
      <c r="O378" s="164"/>
      <c r="P378" s="17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</row>
    <row r="379" spans="1:39" s="58" customFormat="1" ht="12" x14ac:dyDescent="0.2">
      <c r="A379" s="38" t="s">
        <v>131</v>
      </c>
      <c r="B379" s="39" t="s">
        <v>23</v>
      </c>
      <c r="C379" s="39">
        <v>4915667</v>
      </c>
      <c r="D379" s="40" t="s">
        <v>238</v>
      </c>
      <c r="E379" s="41" t="s">
        <v>239</v>
      </c>
      <c r="F379" s="45">
        <f>(18.15+15.02+307.73)*0.1</f>
        <v>34.090000000000003</v>
      </c>
      <c r="G379" s="45">
        <v>211.73147450201117</v>
      </c>
      <c r="H379" s="45">
        <v>10.19</v>
      </c>
      <c r="I379" s="45">
        <f t="shared" si="70"/>
        <v>12.33</v>
      </c>
      <c r="J379" s="45">
        <f>ROUND((F379*I379),2)</f>
        <v>420.33</v>
      </c>
      <c r="K379" s="161"/>
      <c r="L379" s="26"/>
      <c r="M379" s="15"/>
      <c r="N379" s="164"/>
      <c r="O379" s="164"/>
      <c r="P379" s="17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</row>
    <row r="380" spans="1:39" s="32" customFormat="1" ht="12" x14ac:dyDescent="0.2">
      <c r="A380" s="27"/>
      <c r="B380" s="28"/>
      <c r="C380" s="28"/>
      <c r="D380" s="29" t="s">
        <v>172</v>
      </c>
      <c r="E380" s="27"/>
      <c r="F380" s="48"/>
      <c r="G380" s="48"/>
      <c r="H380" s="48"/>
      <c r="I380" s="48"/>
      <c r="J380" s="49">
        <f>SUM(J366:J379)</f>
        <v>408569.91</v>
      </c>
      <c r="K380" s="174"/>
      <c r="L380" s="33"/>
      <c r="M380" s="15"/>
      <c r="N380" s="9"/>
      <c r="O380" s="9"/>
      <c r="P380" s="9"/>
      <c r="Q380" s="8"/>
      <c r="R380" s="26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</row>
    <row r="381" spans="1:39" s="8" customFormat="1" ht="12" x14ac:dyDescent="0.2">
      <c r="A381" s="10"/>
      <c r="B381" s="11"/>
      <c r="C381" s="11"/>
      <c r="D381" s="12"/>
      <c r="E381" s="13"/>
      <c r="F381" s="46"/>
      <c r="G381" s="46"/>
      <c r="H381" s="46"/>
      <c r="I381" s="46"/>
      <c r="J381" s="46"/>
      <c r="K381" s="161"/>
      <c r="L381" s="26"/>
      <c r="M381" s="15"/>
      <c r="N381" s="9"/>
      <c r="O381" s="9"/>
      <c r="P381" s="9"/>
    </row>
    <row r="382" spans="1:39" s="8" customFormat="1" ht="12" x14ac:dyDescent="0.2">
      <c r="A382" s="4">
        <v>4</v>
      </c>
      <c r="B382" s="5"/>
      <c r="C382" s="5"/>
      <c r="D382" s="6" t="s">
        <v>154</v>
      </c>
      <c r="E382" s="267"/>
      <c r="F382" s="47"/>
      <c r="G382" s="47"/>
      <c r="H382" s="47"/>
      <c r="I382" s="47"/>
      <c r="J382" s="47"/>
      <c r="K382" s="161"/>
      <c r="L382" s="26"/>
      <c r="M382" s="15"/>
      <c r="N382" s="9"/>
      <c r="O382" s="9"/>
      <c r="P382" s="9"/>
    </row>
    <row r="383" spans="1:39" s="8" customFormat="1" ht="12" x14ac:dyDescent="0.2">
      <c r="A383" s="10" t="s">
        <v>53</v>
      </c>
      <c r="B383" s="11"/>
      <c r="C383" s="11"/>
      <c r="D383" s="12" t="s">
        <v>130</v>
      </c>
      <c r="E383" s="13"/>
      <c r="F383" s="46"/>
      <c r="G383" s="46"/>
      <c r="H383" s="46"/>
      <c r="I383" s="46"/>
      <c r="J383" s="46"/>
      <c r="K383" s="161"/>
      <c r="L383" s="26"/>
      <c r="M383" s="15"/>
      <c r="N383" s="164"/>
      <c r="O383" s="164"/>
      <c r="P383" s="17"/>
    </row>
    <row r="384" spans="1:39" s="58" customFormat="1" ht="24" x14ac:dyDescent="0.2">
      <c r="A384" s="38" t="s">
        <v>230</v>
      </c>
      <c r="B384" s="39" t="s">
        <v>24</v>
      </c>
      <c r="C384" s="39">
        <v>94273</v>
      </c>
      <c r="D384" s="40" t="s">
        <v>177</v>
      </c>
      <c r="E384" s="41" t="s">
        <v>9</v>
      </c>
      <c r="F384" s="45">
        <v>501</v>
      </c>
      <c r="G384" s="45">
        <v>30.9</v>
      </c>
      <c r="H384" s="45">
        <v>33.1</v>
      </c>
      <c r="I384" s="45">
        <f>ROUND(H384*(1+$E$168),2)</f>
        <v>40.04</v>
      </c>
      <c r="J384" s="45">
        <f t="shared" ref="J384:J385" si="72">ROUND(F384*I384,2)</f>
        <v>20060.04</v>
      </c>
      <c r="K384" s="161"/>
      <c r="L384" s="26"/>
      <c r="M384" s="15"/>
      <c r="N384" s="164"/>
      <c r="O384" s="164"/>
      <c r="P384" s="17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</row>
    <row r="385" spans="1:39" s="58" customFormat="1" ht="24" x14ac:dyDescent="0.2">
      <c r="A385" s="38" t="s">
        <v>231</v>
      </c>
      <c r="B385" s="39"/>
      <c r="C385" s="39" t="s">
        <v>100</v>
      </c>
      <c r="D385" s="40" t="s">
        <v>272</v>
      </c>
      <c r="E385" s="41" t="s">
        <v>9</v>
      </c>
      <c r="F385" s="45">
        <v>441</v>
      </c>
      <c r="G385" s="45">
        <v>30.9</v>
      </c>
      <c r="H385" s="45">
        <v>8.83</v>
      </c>
      <c r="I385" s="45">
        <f>ROUND(H385*(1+$E$168),2)</f>
        <v>10.68</v>
      </c>
      <c r="J385" s="45">
        <f t="shared" si="72"/>
        <v>4709.88</v>
      </c>
      <c r="K385" s="161"/>
      <c r="L385" s="26"/>
      <c r="M385" s="15"/>
      <c r="N385" s="164"/>
      <c r="O385" s="164"/>
      <c r="P385" s="17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</row>
    <row r="386" spans="1:39" s="8" customFormat="1" ht="12" x14ac:dyDescent="0.2">
      <c r="A386" s="10" t="s">
        <v>54</v>
      </c>
      <c r="B386" s="11"/>
      <c r="C386" s="11"/>
      <c r="D386" s="12" t="s">
        <v>78</v>
      </c>
      <c r="E386" s="13"/>
      <c r="F386" s="46"/>
      <c r="G386" s="46"/>
      <c r="H386" s="46"/>
      <c r="I386" s="173"/>
      <c r="J386" s="50"/>
      <c r="K386" s="161"/>
      <c r="L386" s="26"/>
      <c r="M386" s="15"/>
      <c r="N386" s="164"/>
      <c r="O386" s="164"/>
      <c r="P386" s="17"/>
    </row>
    <row r="387" spans="1:39" s="8" customFormat="1" ht="12" x14ac:dyDescent="0.2">
      <c r="A387" s="10" t="s">
        <v>232</v>
      </c>
      <c r="B387" s="11"/>
      <c r="C387" s="11"/>
      <c r="D387" s="12" t="s">
        <v>80</v>
      </c>
      <c r="E387" s="13"/>
      <c r="F387" s="46"/>
      <c r="G387" s="46"/>
      <c r="H387" s="46"/>
      <c r="I387" s="173"/>
      <c r="J387" s="50"/>
      <c r="K387" s="161"/>
      <c r="L387" s="26"/>
      <c r="M387" s="15"/>
      <c r="N387" s="164"/>
      <c r="O387" s="164"/>
      <c r="P387" s="17"/>
    </row>
    <row r="388" spans="1:39" s="8" customFormat="1" ht="12" x14ac:dyDescent="0.2">
      <c r="A388" s="38" t="s">
        <v>260</v>
      </c>
      <c r="B388" s="39" t="s">
        <v>23</v>
      </c>
      <c r="C388" s="39">
        <v>2003849</v>
      </c>
      <c r="D388" s="40" t="s">
        <v>213</v>
      </c>
      <c r="E388" s="41" t="s">
        <v>5</v>
      </c>
      <c r="F388" s="45">
        <f>ROUND((F392*0.05),2)</f>
        <v>67.849999999999994</v>
      </c>
      <c r="G388" s="45">
        <v>91.67</v>
      </c>
      <c r="H388" s="45">
        <v>66.44</v>
      </c>
      <c r="I388" s="45">
        <f>ROUND(H388*(1+$E$168),2)</f>
        <v>80.37</v>
      </c>
      <c r="J388" s="472">
        <f>ROUND((F388*I388),2)</f>
        <v>5453.1</v>
      </c>
      <c r="K388" s="483"/>
      <c r="L388" s="26"/>
      <c r="M388" s="15"/>
      <c r="N388" s="164"/>
      <c r="O388" s="164"/>
      <c r="P388" s="17"/>
    </row>
    <row r="389" spans="1:39" s="8" customFormat="1" ht="12" x14ac:dyDescent="0.2">
      <c r="A389" s="38" t="s">
        <v>261</v>
      </c>
      <c r="B389" s="39" t="s">
        <v>24</v>
      </c>
      <c r="C389" s="39">
        <v>72844</v>
      </c>
      <c r="D389" s="40" t="s">
        <v>175</v>
      </c>
      <c r="E389" s="41" t="s">
        <v>8</v>
      </c>
      <c r="F389" s="45">
        <f>F388*1.8</f>
        <v>122.13</v>
      </c>
      <c r="G389" s="45">
        <v>0.66</v>
      </c>
      <c r="H389" s="45">
        <v>0.7</v>
      </c>
      <c r="I389" s="45">
        <f>ROUND(H389*(1+$E$168),2)</f>
        <v>0.85</v>
      </c>
      <c r="J389" s="472">
        <f t="shared" ref="J389:J395" si="73">ROUND(F389*I389,2)</f>
        <v>103.81</v>
      </c>
      <c r="K389" s="483"/>
      <c r="L389" s="26"/>
      <c r="M389" s="15"/>
      <c r="N389" s="164"/>
      <c r="O389" s="164"/>
      <c r="P389" s="17"/>
    </row>
    <row r="390" spans="1:39" s="58" customFormat="1" ht="12" x14ac:dyDescent="0.2">
      <c r="A390" s="38" t="s">
        <v>262</v>
      </c>
      <c r="B390" s="39" t="s">
        <v>23</v>
      </c>
      <c r="C390" s="39">
        <v>5914389</v>
      </c>
      <c r="D390" s="40" t="s">
        <v>145</v>
      </c>
      <c r="E390" s="41" t="s">
        <v>35</v>
      </c>
      <c r="F390" s="45">
        <f>F389*9</f>
        <v>1099.17</v>
      </c>
      <c r="G390" s="45">
        <v>0.4</v>
      </c>
      <c r="H390" s="45">
        <v>0.47</v>
      </c>
      <c r="I390" s="45">
        <f>ROUND(H390*(1+$E$168),2)</f>
        <v>0.56999999999999995</v>
      </c>
      <c r="J390" s="472">
        <f t="shared" si="73"/>
        <v>626.53</v>
      </c>
      <c r="K390" s="483"/>
      <c r="L390" s="26"/>
      <c r="M390" s="15"/>
      <c r="N390" s="164"/>
      <c r="O390" s="164"/>
      <c r="P390" s="17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</row>
    <row r="391" spans="1:39" s="8" customFormat="1" ht="12" x14ac:dyDescent="0.2">
      <c r="A391" s="53" t="s">
        <v>233</v>
      </c>
      <c r="B391" s="60"/>
      <c r="C391" s="60"/>
      <c r="D391" s="61" t="s">
        <v>235</v>
      </c>
      <c r="E391" s="62"/>
      <c r="F391" s="173"/>
      <c r="G391" s="173">
        <v>46.09</v>
      </c>
      <c r="H391" s="173"/>
      <c r="I391" s="173"/>
      <c r="J391" s="478"/>
      <c r="K391" s="487"/>
      <c r="L391" s="26"/>
      <c r="M391" s="15"/>
      <c r="N391" s="164"/>
      <c r="O391" s="164"/>
      <c r="P391" s="17"/>
    </row>
    <row r="392" spans="1:39" s="58" customFormat="1" ht="12" x14ac:dyDescent="0.2">
      <c r="A392" s="38" t="s">
        <v>263</v>
      </c>
      <c r="B392" s="39" t="s">
        <v>24</v>
      </c>
      <c r="C392" s="39">
        <v>94994</v>
      </c>
      <c r="D392" s="44" t="s">
        <v>273</v>
      </c>
      <c r="E392" s="41" t="s">
        <v>6</v>
      </c>
      <c r="F392" s="179">
        <f>268.63+11.74+403.91+8.85+11.69+136.49+162.97+8.87+343.81</f>
        <v>1356.96</v>
      </c>
      <c r="G392" s="45">
        <v>46.09</v>
      </c>
      <c r="H392" s="45">
        <v>67.13</v>
      </c>
      <c r="I392" s="45">
        <f>ROUND(H392*(1+$E$168),2)</f>
        <v>81.209999999999994</v>
      </c>
      <c r="J392" s="472">
        <f t="shared" ref="J392" si="74">ROUND(F392*I392,2)</f>
        <v>110198.72</v>
      </c>
      <c r="K392" s="488"/>
      <c r="L392" s="26"/>
      <c r="M392" s="15"/>
      <c r="N392" s="164"/>
      <c r="O392" s="164"/>
      <c r="P392" s="17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</row>
    <row r="393" spans="1:39" s="58" customFormat="1" ht="24" x14ac:dyDescent="0.2">
      <c r="A393" s="38" t="s">
        <v>264</v>
      </c>
      <c r="B393" s="39"/>
      <c r="C393" s="39" t="s">
        <v>100</v>
      </c>
      <c r="D393" s="40" t="s">
        <v>155</v>
      </c>
      <c r="E393" s="41" t="s">
        <v>6</v>
      </c>
      <c r="F393" s="45">
        <f>22.3+30.54+17.17+20.12+29.14</f>
        <v>119.27000000000001</v>
      </c>
      <c r="G393" s="45">
        <v>55.75</v>
      </c>
      <c r="H393" s="45">
        <f>COMP!E91</f>
        <v>51.944099999999999</v>
      </c>
      <c r="I393" s="45">
        <f>ROUND(H393*(1+$E$168),2)</f>
        <v>62.84</v>
      </c>
      <c r="J393" s="472">
        <f t="shared" si="73"/>
        <v>7494.93</v>
      </c>
      <c r="K393" s="483"/>
      <c r="L393" s="55"/>
      <c r="M393" s="56"/>
      <c r="N393" s="66"/>
      <c r="O393" s="66"/>
      <c r="P393" s="57"/>
    </row>
    <row r="394" spans="1:39" s="58" customFormat="1" ht="12" x14ac:dyDescent="0.2">
      <c r="A394" s="38" t="s">
        <v>55</v>
      </c>
      <c r="B394" s="39"/>
      <c r="C394" s="39" t="s">
        <v>100</v>
      </c>
      <c r="D394" s="40" t="s">
        <v>236</v>
      </c>
      <c r="E394" s="41" t="s">
        <v>9</v>
      </c>
      <c r="F394" s="45">
        <f>23.56*4</f>
        <v>94.24</v>
      </c>
      <c r="G394" s="45">
        <v>10.56</v>
      </c>
      <c r="H394" s="45">
        <v>222.99</v>
      </c>
      <c r="I394" s="45">
        <f>ROUND(H394*(1+$E$168),2)</f>
        <v>269.75</v>
      </c>
      <c r="J394" s="472">
        <f t="shared" si="73"/>
        <v>25421.24</v>
      </c>
      <c r="K394" s="483"/>
      <c r="L394" s="26"/>
      <c r="M394" s="15"/>
      <c r="N394" s="164"/>
      <c r="O394" s="164"/>
      <c r="P394" s="17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</row>
    <row r="395" spans="1:39" s="58" customFormat="1" ht="12" x14ac:dyDescent="0.2">
      <c r="A395" s="38" t="s">
        <v>56</v>
      </c>
      <c r="B395" s="39" t="s">
        <v>24</v>
      </c>
      <c r="C395" s="39">
        <v>85180</v>
      </c>
      <c r="D395" s="40" t="s">
        <v>156</v>
      </c>
      <c r="E395" s="41" t="s">
        <v>6</v>
      </c>
      <c r="F395" s="45">
        <v>3677.86</v>
      </c>
      <c r="G395" s="45">
        <v>10.56</v>
      </c>
      <c r="H395" s="45">
        <v>14.14</v>
      </c>
      <c r="I395" s="45">
        <f>ROUND(H395*(1+$E$168),2)</f>
        <v>17.11</v>
      </c>
      <c r="J395" s="472">
        <f t="shared" si="73"/>
        <v>62928.18</v>
      </c>
      <c r="K395" s="483"/>
      <c r="L395" s="26"/>
      <c r="M395" s="15"/>
      <c r="N395" s="164"/>
      <c r="O395" s="164"/>
      <c r="P395" s="17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</row>
    <row r="396" spans="1:39" s="8" customFormat="1" ht="12" hidden="1" x14ac:dyDescent="0.2">
      <c r="A396" s="10" t="s">
        <v>74</v>
      </c>
      <c r="B396" s="11" t="s">
        <v>24</v>
      </c>
      <c r="C396" s="11">
        <v>84862</v>
      </c>
      <c r="D396" s="12" t="s">
        <v>157</v>
      </c>
      <c r="E396" s="13" t="s">
        <v>9</v>
      </c>
      <c r="F396" s="46"/>
      <c r="G396" s="46"/>
      <c r="H396" s="46"/>
      <c r="I396" s="171"/>
      <c r="J396" s="479"/>
      <c r="K396" s="484"/>
      <c r="L396" s="26"/>
      <c r="M396" s="15"/>
      <c r="N396" s="164"/>
      <c r="O396" s="164"/>
      <c r="P396" s="17"/>
    </row>
    <row r="397" spans="1:39" s="8" customFormat="1" ht="12" hidden="1" x14ac:dyDescent="0.2">
      <c r="A397" s="10" t="s">
        <v>76</v>
      </c>
      <c r="B397" s="11"/>
      <c r="C397" s="11" t="s">
        <v>100</v>
      </c>
      <c r="D397" s="12" t="s">
        <v>158</v>
      </c>
      <c r="E397" s="13" t="s">
        <v>9</v>
      </c>
      <c r="F397" s="46"/>
      <c r="G397" s="46"/>
      <c r="H397" s="46"/>
      <c r="I397" s="171"/>
      <c r="J397" s="479"/>
      <c r="K397" s="484"/>
      <c r="L397" s="26"/>
      <c r="M397" s="15"/>
      <c r="N397" s="164"/>
      <c r="O397" s="164"/>
      <c r="P397" s="17"/>
    </row>
    <row r="398" spans="1:39" s="8" customFormat="1" ht="12" x14ac:dyDescent="0.2">
      <c r="A398" s="38" t="s">
        <v>57</v>
      </c>
      <c r="B398" s="39" t="s">
        <v>24</v>
      </c>
      <c r="C398" s="39" t="s">
        <v>478</v>
      </c>
      <c r="D398" s="40" t="s">
        <v>159</v>
      </c>
      <c r="E398" s="41" t="s">
        <v>6</v>
      </c>
      <c r="F398" s="45">
        <v>6356.07</v>
      </c>
      <c r="G398" s="45">
        <v>2.19</v>
      </c>
      <c r="H398" s="45">
        <v>1.66</v>
      </c>
      <c r="I398" s="45">
        <f>ROUND(H398*(1+$E$168),2)</f>
        <v>2.0099999999999998</v>
      </c>
      <c r="J398" s="472">
        <f t="shared" ref="J398" si="75">ROUND(F398*I398,2)</f>
        <v>12775.7</v>
      </c>
      <c r="K398" s="483"/>
      <c r="L398" s="26"/>
      <c r="M398" s="15"/>
      <c r="N398" s="164"/>
      <c r="O398" s="164"/>
      <c r="P398" s="17"/>
    </row>
    <row r="399" spans="1:39" s="32" customFormat="1" ht="12" x14ac:dyDescent="0.2">
      <c r="A399" s="27"/>
      <c r="B399" s="28"/>
      <c r="C399" s="28"/>
      <c r="D399" s="29" t="s">
        <v>172</v>
      </c>
      <c r="E399" s="27"/>
      <c r="F399" s="48"/>
      <c r="G399" s="48"/>
      <c r="H399" s="48"/>
      <c r="I399" s="50"/>
      <c r="J399" s="49">
        <f>SUM(J384:J398)</f>
        <v>249772.13</v>
      </c>
      <c r="K399" s="174"/>
      <c r="L399" s="33"/>
      <c r="M399" s="15"/>
      <c r="N399" s="9"/>
      <c r="O399" s="9"/>
      <c r="P399" s="9"/>
      <c r="Q399" s="8"/>
      <c r="R399" s="26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</row>
    <row r="400" spans="1:39" s="8" customFormat="1" ht="12" x14ac:dyDescent="0.2">
      <c r="A400" s="10"/>
      <c r="B400" s="11"/>
      <c r="C400" s="11"/>
      <c r="D400" s="12"/>
      <c r="E400" s="13"/>
      <c r="F400" s="46"/>
      <c r="G400" s="46"/>
      <c r="H400" s="46"/>
      <c r="I400" s="50"/>
      <c r="J400" s="46"/>
      <c r="K400" s="161"/>
      <c r="L400" s="26"/>
      <c r="M400" s="15"/>
      <c r="N400" s="9"/>
      <c r="O400" s="9"/>
      <c r="P400" s="9"/>
    </row>
    <row r="401" spans="1:39" s="8" customFormat="1" ht="12" x14ac:dyDescent="0.2">
      <c r="A401" s="4">
        <v>5</v>
      </c>
      <c r="B401" s="5"/>
      <c r="C401" s="5"/>
      <c r="D401" s="6" t="s">
        <v>160</v>
      </c>
      <c r="E401" s="267"/>
      <c r="F401" s="47"/>
      <c r="G401" s="47"/>
      <c r="H401" s="47"/>
      <c r="I401" s="50"/>
      <c r="J401" s="47"/>
      <c r="K401" s="161"/>
      <c r="L401" s="26"/>
      <c r="M401" s="15"/>
      <c r="N401" s="9"/>
      <c r="O401" s="9"/>
      <c r="P401" s="9"/>
    </row>
    <row r="402" spans="1:39" s="8" customFormat="1" ht="12" x14ac:dyDescent="0.2">
      <c r="A402" s="10" t="s">
        <v>62</v>
      </c>
      <c r="B402" s="11"/>
      <c r="C402" s="11"/>
      <c r="D402" s="12" t="s">
        <v>85</v>
      </c>
      <c r="E402" s="13"/>
      <c r="F402" s="46"/>
      <c r="G402" s="46"/>
      <c r="H402" s="46"/>
      <c r="I402" s="50"/>
      <c r="J402" s="46"/>
      <c r="K402" s="161"/>
      <c r="L402" s="26"/>
      <c r="M402" s="15"/>
      <c r="N402" s="164"/>
      <c r="O402" s="164"/>
      <c r="P402" s="17"/>
    </row>
    <row r="403" spans="1:39" s="8" customFormat="1" ht="24" x14ac:dyDescent="0.2">
      <c r="A403" s="38" t="s">
        <v>265</v>
      </c>
      <c r="B403" s="39" t="s">
        <v>24</v>
      </c>
      <c r="C403" s="39">
        <v>72947</v>
      </c>
      <c r="D403" s="40" t="s">
        <v>161</v>
      </c>
      <c r="E403" s="41" t="s">
        <v>6</v>
      </c>
      <c r="F403" s="45">
        <f>60.96+59.29+78.3+14.68+2.67</f>
        <v>215.9</v>
      </c>
      <c r="G403" s="45">
        <v>21.21</v>
      </c>
      <c r="H403" s="45">
        <v>20.329999999999998</v>
      </c>
      <c r="I403" s="45">
        <f>ROUND(H403*(1+$E$168),2)</f>
        <v>24.59</v>
      </c>
      <c r="J403" s="45">
        <f t="shared" ref="J403:J404" si="76">ROUND(F403*I403,2)</f>
        <v>5308.98</v>
      </c>
      <c r="K403" s="161"/>
      <c r="L403" s="26"/>
      <c r="M403" s="15"/>
      <c r="N403" s="164"/>
      <c r="O403" s="164"/>
      <c r="P403" s="17"/>
    </row>
    <row r="404" spans="1:39" s="8" customFormat="1" ht="12" x14ac:dyDescent="0.2">
      <c r="A404" s="38" t="s">
        <v>266</v>
      </c>
      <c r="B404" s="39" t="s">
        <v>23</v>
      </c>
      <c r="C404" s="39">
        <v>5214003</v>
      </c>
      <c r="D404" s="40" t="s">
        <v>162</v>
      </c>
      <c r="E404" s="41" t="s">
        <v>6</v>
      </c>
      <c r="F404" s="45">
        <v>64.34</v>
      </c>
      <c r="G404" s="45">
        <v>46.1</v>
      </c>
      <c r="H404" s="45">
        <v>42.12</v>
      </c>
      <c r="I404" s="45">
        <f>ROUND(H404*(1+$E$168),2)</f>
        <v>50.95</v>
      </c>
      <c r="J404" s="45">
        <f t="shared" si="76"/>
        <v>3278.12</v>
      </c>
      <c r="K404" s="161"/>
      <c r="L404" s="26"/>
      <c r="M404" s="15"/>
      <c r="N404" s="164"/>
      <c r="O404" s="164"/>
      <c r="P404" s="17"/>
    </row>
    <row r="405" spans="1:39" s="8" customFormat="1" ht="12" hidden="1" x14ac:dyDescent="0.2">
      <c r="A405" s="38" t="s">
        <v>267</v>
      </c>
      <c r="B405" s="11" t="s">
        <v>23</v>
      </c>
      <c r="C405" s="11" t="s">
        <v>21</v>
      </c>
      <c r="D405" s="12" t="s">
        <v>163</v>
      </c>
      <c r="E405" s="13" t="s">
        <v>7</v>
      </c>
      <c r="F405" s="46"/>
      <c r="G405" s="46"/>
      <c r="H405" s="45">
        <f>ROUND(G405*(1+$E$557),2)</f>
        <v>0</v>
      </c>
      <c r="I405" s="45">
        <f>ROUND(H405*(1+$E$168),2)</f>
        <v>0</v>
      </c>
      <c r="J405" s="50"/>
      <c r="K405" s="161"/>
      <c r="L405" s="26"/>
      <c r="M405" s="15"/>
      <c r="N405" s="164"/>
      <c r="O405" s="164"/>
      <c r="P405" s="17"/>
    </row>
    <row r="406" spans="1:39" s="58" customFormat="1" ht="12" x14ac:dyDescent="0.2">
      <c r="A406" s="38" t="s">
        <v>267</v>
      </c>
      <c r="B406" s="39" t="s">
        <v>23</v>
      </c>
      <c r="C406" s="39">
        <v>5213362</v>
      </c>
      <c r="D406" s="40" t="s">
        <v>86</v>
      </c>
      <c r="E406" s="41" t="s">
        <v>7</v>
      </c>
      <c r="F406" s="45">
        <f>83+46</f>
        <v>129</v>
      </c>
      <c r="G406" s="45">
        <v>43.38</v>
      </c>
      <c r="H406" s="45">
        <v>39.01</v>
      </c>
      <c r="I406" s="45">
        <f>ROUND(H406*(1+$E$168),2)</f>
        <v>47.19</v>
      </c>
      <c r="J406" s="45">
        <f t="shared" ref="J406" si="77">ROUND(F406*I406,2)</f>
        <v>6087.51</v>
      </c>
      <c r="K406" s="161"/>
      <c r="L406" s="26"/>
      <c r="M406" s="15"/>
      <c r="N406" s="164"/>
      <c r="O406" s="164"/>
      <c r="P406" s="17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</row>
    <row r="407" spans="1:39" s="8" customFormat="1" ht="12" x14ac:dyDescent="0.2">
      <c r="A407" s="10" t="s">
        <v>63</v>
      </c>
      <c r="B407" s="11"/>
      <c r="C407" s="11"/>
      <c r="D407" s="12" t="s">
        <v>82</v>
      </c>
      <c r="E407" s="13"/>
      <c r="F407" s="46"/>
      <c r="G407" s="46"/>
      <c r="H407" s="46"/>
      <c r="I407" s="50"/>
      <c r="J407" s="50"/>
      <c r="K407" s="161"/>
      <c r="L407" s="26"/>
      <c r="M407" s="15"/>
      <c r="N407" s="164"/>
      <c r="O407" s="164"/>
      <c r="P407" s="17"/>
    </row>
    <row r="408" spans="1:39" s="8" customFormat="1" ht="26.25" customHeight="1" x14ac:dyDescent="0.2">
      <c r="A408" s="38" t="s">
        <v>268</v>
      </c>
      <c r="B408" s="39" t="s">
        <v>23</v>
      </c>
      <c r="C408" s="39">
        <v>5213863</v>
      </c>
      <c r="D408" s="40" t="s">
        <v>361</v>
      </c>
      <c r="E408" s="41" t="s">
        <v>7</v>
      </c>
      <c r="F408" s="45">
        <v>9</v>
      </c>
      <c r="G408" s="45">
        <v>117.36</v>
      </c>
      <c r="H408" s="45">
        <v>272.91000000000003</v>
      </c>
      <c r="I408" s="45">
        <f t="shared" ref="I408:I418" si="78">ROUND(H408*(1+$E$168),2)</f>
        <v>330.14</v>
      </c>
      <c r="J408" s="45">
        <f t="shared" ref="J408:J415" si="79">ROUND(F408*I408,2)</f>
        <v>2971.26</v>
      </c>
      <c r="K408" s="161"/>
      <c r="L408" s="26"/>
      <c r="M408" s="15"/>
      <c r="N408" s="164"/>
      <c r="O408" s="164"/>
      <c r="P408" s="17"/>
    </row>
    <row r="409" spans="1:39" s="8" customFormat="1" ht="24" customHeight="1" x14ac:dyDescent="0.2">
      <c r="A409" s="38" t="s">
        <v>269</v>
      </c>
      <c r="B409" s="39" t="s">
        <v>23</v>
      </c>
      <c r="C409" s="39">
        <v>5213851</v>
      </c>
      <c r="D409" s="40" t="s">
        <v>362</v>
      </c>
      <c r="E409" s="41" t="s">
        <v>7</v>
      </c>
      <c r="F409" s="45">
        <v>18</v>
      </c>
      <c r="G409" s="45">
        <v>117.36</v>
      </c>
      <c r="H409" s="45">
        <v>216.43</v>
      </c>
      <c r="I409" s="45">
        <f t="shared" si="78"/>
        <v>261.82</v>
      </c>
      <c r="J409" s="45">
        <f t="shared" si="79"/>
        <v>4712.76</v>
      </c>
      <c r="K409" s="161"/>
      <c r="L409" s="26"/>
      <c r="M409" s="15"/>
      <c r="N409" s="164"/>
      <c r="O409" s="164"/>
      <c r="P409" s="17"/>
    </row>
    <row r="410" spans="1:39" s="142" customFormat="1" ht="24" x14ac:dyDescent="0.2">
      <c r="A410" s="38" t="s">
        <v>270</v>
      </c>
      <c r="B410" s="39" t="s">
        <v>23</v>
      </c>
      <c r="C410" s="39">
        <v>5213464</v>
      </c>
      <c r="D410" s="40" t="s">
        <v>363</v>
      </c>
      <c r="E410" s="41" t="s">
        <v>7</v>
      </c>
      <c r="F410" s="45">
        <v>9</v>
      </c>
      <c r="G410" s="45">
        <v>243.03</v>
      </c>
      <c r="H410" s="45">
        <v>260.95</v>
      </c>
      <c r="I410" s="45">
        <f t="shared" si="78"/>
        <v>315.67</v>
      </c>
      <c r="J410" s="45">
        <f t="shared" si="79"/>
        <v>2841.03</v>
      </c>
      <c r="K410" s="161"/>
      <c r="L410" s="26"/>
      <c r="M410" s="15"/>
      <c r="N410" s="164"/>
      <c r="O410" s="164"/>
      <c r="P410" s="17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</row>
    <row r="411" spans="1:39" s="142" customFormat="1" ht="24" x14ac:dyDescent="0.2">
      <c r="A411" s="38" t="s">
        <v>366</v>
      </c>
      <c r="B411" s="39" t="s">
        <v>23</v>
      </c>
      <c r="C411" s="39">
        <v>5213440</v>
      </c>
      <c r="D411" s="40" t="s">
        <v>364</v>
      </c>
      <c r="E411" s="41" t="s">
        <v>7</v>
      </c>
      <c r="F411" s="45">
        <v>18</v>
      </c>
      <c r="G411" s="45">
        <v>243.03</v>
      </c>
      <c r="H411" s="45">
        <v>211.25</v>
      </c>
      <c r="I411" s="45">
        <f t="shared" si="78"/>
        <v>255.55</v>
      </c>
      <c r="J411" s="45">
        <f t="shared" si="79"/>
        <v>4599.8999999999996</v>
      </c>
      <c r="K411" s="161"/>
      <c r="L411" s="26"/>
      <c r="M411" s="15"/>
      <c r="N411" s="164"/>
      <c r="O411" s="164"/>
      <c r="P411" s="17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</row>
    <row r="412" spans="1:39" s="142" customFormat="1" ht="24" x14ac:dyDescent="0.2">
      <c r="A412" s="38" t="s">
        <v>367</v>
      </c>
      <c r="B412" s="39" t="s">
        <v>23</v>
      </c>
      <c r="C412" s="39">
        <v>5213562</v>
      </c>
      <c r="D412" s="40" t="s">
        <v>365</v>
      </c>
      <c r="E412" s="41" t="s">
        <v>7</v>
      </c>
      <c r="F412" s="45">
        <v>3</v>
      </c>
      <c r="G412" s="45">
        <v>243.03</v>
      </c>
      <c r="H412" s="45">
        <v>1869.61</v>
      </c>
      <c r="I412" s="45">
        <f t="shared" si="78"/>
        <v>2261.67</v>
      </c>
      <c r="J412" s="45">
        <f t="shared" si="79"/>
        <v>6785.01</v>
      </c>
      <c r="K412" s="161"/>
      <c r="L412" s="26"/>
      <c r="M412" s="15"/>
      <c r="N412" s="164"/>
      <c r="O412" s="164"/>
      <c r="P412" s="17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</row>
    <row r="413" spans="1:39" s="142" customFormat="1" ht="12" x14ac:dyDescent="0.2">
      <c r="A413" s="38" t="s">
        <v>368</v>
      </c>
      <c r="B413" s="39"/>
      <c r="C413" s="39" t="s">
        <v>100</v>
      </c>
      <c r="D413" s="40" t="s">
        <v>375</v>
      </c>
      <c r="E413" s="41" t="s">
        <v>7</v>
      </c>
      <c r="F413" s="45">
        <v>4</v>
      </c>
      <c r="G413" s="45">
        <v>243.03</v>
      </c>
      <c r="H413" s="45">
        <f>COMP!E70</f>
        <v>749.60171720430094</v>
      </c>
      <c r="I413" s="45">
        <f t="shared" si="78"/>
        <v>906.79</v>
      </c>
      <c r="J413" s="45">
        <f t="shared" si="79"/>
        <v>3627.16</v>
      </c>
      <c r="K413" s="161"/>
      <c r="L413" s="26"/>
      <c r="M413" s="15"/>
      <c r="N413" s="164"/>
      <c r="O413" s="164"/>
      <c r="P413" s="17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</row>
    <row r="414" spans="1:39" s="8" customFormat="1" ht="12" x14ac:dyDescent="0.2">
      <c r="A414" s="38" t="s">
        <v>369</v>
      </c>
      <c r="B414" s="39" t="s">
        <v>24</v>
      </c>
      <c r="C414" s="39" t="s">
        <v>401</v>
      </c>
      <c r="D414" s="40" t="s">
        <v>402</v>
      </c>
      <c r="E414" s="41" t="s">
        <v>7</v>
      </c>
      <c r="F414" s="45">
        <v>2</v>
      </c>
      <c r="G414" s="45">
        <v>10500</v>
      </c>
      <c r="H414" s="42">
        <v>81.180000000000007</v>
      </c>
      <c r="I414" s="45">
        <f t="shared" si="78"/>
        <v>98.2</v>
      </c>
      <c r="J414" s="45">
        <f t="shared" ref="J414" si="80">ROUND(F414*I414,2)</f>
        <v>196.4</v>
      </c>
      <c r="K414" s="161"/>
      <c r="L414" s="165"/>
      <c r="M414" s="15"/>
      <c r="N414" s="164"/>
      <c r="O414" s="164"/>
      <c r="P414" s="17"/>
    </row>
    <row r="415" spans="1:39" s="8" customFormat="1" ht="24" x14ac:dyDescent="0.2">
      <c r="A415" s="38" t="s">
        <v>405</v>
      </c>
      <c r="B415" s="39" t="s">
        <v>23</v>
      </c>
      <c r="C415" s="39">
        <v>5213628</v>
      </c>
      <c r="D415" s="40" t="s">
        <v>84</v>
      </c>
      <c r="E415" s="41" t="s">
        <v>7</v>
      </c>
      <c r="F415" s="45">
        <v>3</v>
      </c>
      <c r="G415" s="45">
        <v>10500</v>
      </c>
      <c r="H415" s="42">
        <v>17569.63</v>
      </c>
      <c r="I415" s="45">
        <f t="shared" si="78"/>
        <v>21253.98</v>
      </c>
      <c r="J415" s="45">
        <f t="shared" si="79"/>
        <v>63761.94</v>
      </c>
      <c r="K415" s="161"/>
      <c r="L415" s="165"/>
      <c r="M415" s="15"/>
      <c r="N415" s="164"/>
      <c r="O415" s="164"/>
      <c r="P415" s="17"/>
    </row>
    <row r="416" spans="1:39" s="8" customFormat="1" ht="12" hidden="1" x14ac:dyDescent="0.2">
      <c r="A416" s="10" t="s">
        <v>77</v>
      </c>
      <c r="B416" s="11"/>
      <c r="C416" s="11"/>
      <c r="D416" s="12" t="s">
        <v>165</v>
      </c>
      <c r="E416" s="13"/>
      <c r="F416" s="46"/>
      <c r="G416" s="46"/>
      <c r="H416" s="46"/>
      <c r="I416" s="45">
        <f t="shared" si="78"/>
        <v>0</v>
      </c>
      <c r="J416" s="50"/>
      <c r="K416" s="161"/>
      <c r="L416" s="26"/>
      <c r="M416" s="15"/>
      <c r="N416" s="164"/>
      <c r="O416" s="164"/>
      <c r="P416" s="17"/>
    </row>
    <row r="417" spans="1:39" s="8" customFormat="1" ht="12" hidden="1" x14ac:dyDescent="0.2">
      <c r="A417" s="10" t="s">
        <v>79</v>
      </c>
      <c r="B417" s="11" t="s">
        <v>23</v>
      </c>
      <c r="C417" s="11" t="s">
        <v>19</v>
      </c>
      <c r="D417" s="12" t="s">
        <v>166</v>
      </c>
      <c r="E417" s="13" t="s">
        <v>9</v>
      </c>
      <c r="F417" s="46"/>
      <c r="G417" s="46"/>
      <c r="H417" s="46"/>
      <c r="I417" s="45">
        <f t="shared" si="78"/>
        <v>0</v>
      </c>
      <c r="J417" s="50"/>
      <c r="K417" s="161"/>
      <c r="L417" s="26"/>
      <c r="M417" s="15"/>
      <c r="N417" s="164"/>
      <c r="O417" s="164"/>
      <c r="P417" s="17"/>
    </row>
    <row r="418" spans="1:39" s="8" customFormat="1" ht="12" hidden="1" x14ac:dyDescent="0.2">
      <c r="A418" s="10" t="s">
        <v>81</v>
      </c>
      <c r="B418" s="11" t="s">
        <v>23</v>
      </c>
      <c r="C418" s="11" t="s">
        <v>20</v>
      </c>
      <c r="D418" s="12" t="s">
        <v>167</v>
      </c>
      <c r="E418" s="13" t="s">
        <v>9</v>
      </c>
      <c r="F418" s="46"/>
      <c r="G418" s="46"/>
      <c r="H418" s="46"/>
      <c r="I418" s="45">
        <f t="shared" si="78"/>
        <v>0</v>
      </c>
      <c r="J418" s="50"/>
      <c r="K418" s="161"/>
      <c r="L418" s="26"/>
      <c r="M418" s="15"/>
      <c r="N418" s="164"/>
      <c r="O418" s="164"/>
      <c r="P418" s="17"/>
    </row>
    <row r="419" spans="1:39" s="32" customFormat="1" ht="12" x14ac:dyDescent="0.2">
      <c r="A419" s="27"/>
      <c r="B419" s="28"/>
      <c r="C419" s="28"/>
      <c r="D419" s="29" t="s">
        <v>172</v>
      </c>
      <c r="E419" s="27"/>
      <c r="F419" s="48"/>
      <c r="G419" s="48"/>
      <c r="H419" s="48"/>
      <c r="I419" s="48"/>
      <c r="J419" s="49">
        <f>SUM(J403:J415)</f>
        <v>104170.07</v>
      </c>
      <c r="K419" s="174"/>
      <c r="L419" s="33"/>
      <c r="M419" s="15"/>
      <c r="N419" s="9"/>
      <c r="O419" s="9"/>
      <c r="P419" s="9"/>
      <c r="Q419" s="8"/>
      <c r="R419" s="26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</row>
    <row r="420" spans="1:39" ht="15.75" x14ac:dyDescent="0.25">
      <c r="A420" s="82"/>
      <c r="B420" s="109"/>
      <c r="C420" s="109"/>
      <c r="D420" s="269" t="s">
        <v>173</v>
      </c>
      <c r="E420" s="344">
        <v>0.2097</v>
      </c>
      <c r="F420" s="344"/>
      <c r="G420" s="270"/>
      <c r="H420" s="270"/>
      <c r="I420" s="345">
        <f>SUM(J419+J399+J380+J363+J298)</f>
        <v>1145313.3899999999</v>
      </c>
      <c r="J420" s="345"/>
      <c r="K420" s="162"/>
      <c r="M420" s="15"/>
    </row>
    <row r="421" spans="1:39" ht="17.25" customHeight="1" x14ac:dyDescent="0.25">
      <c r="A421" s="82"/>
      <c r="B421" s="109"/>
      <c r="C421" s="109"/>
      <c r="D421" s="269"/>
      <c r="E421" s="271"/>
      <c r="F421" s="271"/>
      <c r="G421" s="270"/>
      <c r="H421" s="270"/>
      <c r="I421" s="272"/>
      <c r="J421" s="272"/>
      <c r="K421" s="162"/>
      <c r="M421" s="15"/>
    </row>
    <row r="422" spans="1:39" s="59" customFormat="1" ht="18" x14ac:dyDescent="0.2">
      <c r="A422" s="350" t="s">
        <v>216</v>
      </c>
      <c r="B422" s="350"/>
      <c r="C422" s="350"/>
      <c r="D422" s="350"/>
      <c r="E422" s="350"/>
      <c r="F422" s="350"/>
      <c r="G422" s="350"/>
      <c r="H422" s="350"/>
      <c r="I422" s="350"/>
      <c r="J422" s="350"/>
      <c r="K422" s="178"/>
    </row>
    <row r="423" spans="1:39" x14ac:dyDescent="0.2">
      <c r="A423" s="356" t="s">
        <v>91</v>
      </c>
      <c r="B423" s="356" t="s">
        <v>92</v>
      </c>
      <c r="C423" s="356" t="s">
        <v>93</v>
      </c>
      <c r="D423" s="356" t="s">
        <v>94</v>
      </c>
      <c r="E423" s="356" t="s">
        <v>95</v>
      </c>
      <c r="F423" s="356" t="s">
        <v>96</v>
      </c>
      <c r="G423" s="356" t="s">
        <v>169</v>
      </c>
      <c r="H423" s="356" t="s">
        <v>169</v>
      </c>
      <c r="I423" s="356" t="s">
        <v>170</v>
      </c>
      <c r="J423" s="356" t="s">
        <v>171</v>
      </c>
      <c r="K423" s="166"/>
    </row>
    <row r="424" spans="1:39" x14ac:dyDescent="0.2">
      <c r="A424" s="356"/>
      <c r="B424" s="356"/>
      <c r="C424" s="356"/>
      <c r="D424" s="356"/>
      <c r="E424" s="356"/>
      <c r="F424" s="356"/>
      <c r="G424" s="356"/>
      <c r="H424" s="356"/>
      <c r="I424" s="356"/>
      <c r="J424" s="356"/>
      <c r="K424" s="166"/>
    </row>
    <row r="425" spans="1:39" x14ac:dyDescent="0.2">
      <c r="A425" s="4">
        <v>1</v>
      </c>
      <c r="B425" s="79"/>
      <c r="C425" s="5"/>
      <c r="D425" s="6" t="s">
        <v>183</v>
      </c>
      <c r="E425" s="267"/>
      <c r="F425" s="47"/>
      <c r="G425" s="25"/>
      <c r="H425" s="25"/>
      <c r="I425" s="50"/>
      <c r="J425" s="47"/>
      <c r="K425" s="166"/>
    </row>
    <row r="426" spans="1:39" hidden="1" x14ac:dyDescent="0.2">
      <c r="A426" s="38" t="s">
        <v>26</v>
      </c>
      <c r="B426" s="39" t="s">
        <v>24</v>
      </c>
      <c r="C426" s="39" t="s">
        <v>205</v>
      </c>
      <c r="D426" s="40" t="s">
        <v>184</v>
      </c>
      <c r="E426" s="41" t="s">
        <v>6</v>
      </c>
      <c r="F426" s="45">
        <v>0</v>
      </c>
      <c r="G426" s="45">
        <v>79933.38</v>
      </c>
      <c r="H426" s="45">
        <v>367.95</v>
      </c>
      <c r="I426" s="45">
        <f>ROUND(H426*(1+$E$168),2)</f>
        <v>445.11</v>
      </c>
      <c r="J426" s="45">
        <f>ROUND(F426*I426,2)</f>
        <v>0</v>
      </c>
      <c r="K426" s="166"/>
    </row>
    <row r="427" spans="1:39" ht="24" x14ac:dyDescent="0.2">
      <c r="A427" s="38" t="s">
        <v>26</v>
      </c>
      <c r="B427" s="39" t="s">
        <v>24</v>
      </c>
      <c r="C427" s="39">
        <v>78472</v>
      </c>
      <c r="D427" s="40" t="s">
        <v>185</v>
      </c>
      <c r="E427" s="41" t="s">
        <v>6</v>
      </c>
      <c r="F427" s="45">
        <f>357.92+20.3+198.99+613.58+53.87+122.79+210.98+97.08+180.56+17+114.45+140.89+14.62+80.05+130.48+180.83+77.93+193.6+67.81+38.52+13.4+25.34+10.67+10.63+13.75+17.79+10.67+10.63+13.75+17.79</f>
        <v>3056.67</v>
      </c>
      <c r="G427" s="45">
        <v>166732.84</v>
      </c>
      <c r="H427" s="45">
        <v>0.34</v>
      </c>
      <c r="I427" s="45">
        <f>ROUND(H427*(1+$E$168),2)</f>
        <v>0.41</v>
      </c>
      <c r="J427" s="45">
        <f t="shared" ref="J427" si="81">ROUND(F427*I427,2)</f>
        <v>1253.23</v>
      </c>
      <c r="K427" s="166"/>
    </row>
    <row r="428" spans="1:39" x14ac:dyDescent="0.2">
      <c r="A428" s="27"/>
      <c r="B428" s="28"/>
      <c r="C428" s="28"/>
      <c r="D428" s="29" t="s">
        <v>172</v>
      </c>
      <c r="E428" s="27"/>
      <c r="F428" s="48"/>
      <c r="G428" s="48"/>
      <c r="H428" s="48"/>
      <c r="I428" s="50"/>
      <c r="J428" s="49">
        <f>SUM(J426:J427)</f>
        <v>1253.23</v>
      </c>
      <c r="K428" s="166"/>
      <c r="M428" s="467"/>
    </row>
    <row r="429" spans="1:39" hidden="1" x14ac:dyDescent="0.2">
      <c r="A429" s="10"/>
      <c r="B429" s="11"/>
      <c r="C429" s="11"/>
      <c r="D429" s="12"/>
      <c r="E429" s="13"/>
      <c r="F429" s="46"/>
      <c r="G429" s="46"/>
      <c r="H429" s="46"/>
      <c r="I429" s="50"/>
      <c r="J429" s="46"/>
      <c r="K429" s="166"/>
      <c r="M429" s="467"/>
    </row>
    <row r="430" spans="1:39" hidden="1" x14ac:dyDescent="0.2">
      <c r="A430" s="4">
        <v>2</v>
      </c>
      <c r="B430" s="5"/>
      <c r="C430" s="5"/>
      <c r="D430" s="6" t="s">
        <v>186</v>
      </c>
      <c r="E430" s="267"/>
      <c r="F430" s="47"/>
      <c r="G430" s="47"/>
      <c r="H430" s="47"/>
      <c r="I430" s="50"/>
      <c r="J430" s="47"/>
      <c r="K430" s="166"/>
      <c r="M430" s="467"/>
    </row>
    <row r="431" spans="1:39" hidden="1" x14ac:dyDescent="0.2">
      <c r="A431" s="38" t="s">
        <v>27</v>
      </c>
      <c r="B431" s="39" t="s">
        <v>24</v>
      </c>
      <c r="C431" s="39" t="s">
        <v>208</v>
      </c>
      <c r="D431" s="40" t="s">
        <v>187</v>
      </c>
      <c r="E431" s="41" t="s">
        <v>5</v>
      </c>
      <c r="F431" s="45">
        <v>0</v>
      </c>
      <c r="G431" s="46"/>
      <c r="H431" s="45">
        <v>3.8</v>
      </c>
      <c r="I431" s="50"/>
      <c r="J431" s="45">
        <f t="shared" ref="J431:J432" si="82">ROUND(F431*I431,2)</f>
        <v>0</v>
      </c>
      <c r="K431" s="167"/>
      <c r="M431" s="467"/>
    </row>
    <row r="432" spans="1:39" hidden="1" x14ac:dyDescent="0.2">
      <c r="A432" s="38" t="s">
        <v>30</v>
      </c>
      <c r="B432" s="39"/>
      <c r="C432" s="39"/>
      <c r="D432" s="40" t="s">
        <v>188</v>
      </c>
      <c r="E432" s="41" t="s">
        <v>5</v>
      </c>
      <c r="F432" s="45">
        <v>0</v>
      </c>
      <c r="G432" s="46"/>
      <c r="H432" s="45">
        <v>3.81</v>
      </c>
      <c r="I432" s="50"/>
      <c r="J432" s="45">
        <f t="shared" si="82"/>
        <v>0</v>
      </c>
      <c r="K432" s="166"/>
      <c r="L432" s="51"/>
      <c r="M432" s="467"/>
    </row>
    <row r="433" spans="1:16" ht="36" hidden="1" x14ac:dyDescent="0.2">
      <c r="A433" s="38" t="s">
        <v>191</v>
      </c>
      <c r="B433" s="39" t="s">
        <v>24</v>
      </c>
      <c r="C433" s="39" t="s">
        <v>206</v>
      </c>
      <c r="D433" s="40" t="s">
        <v>189</v>
      </c>
      <c r="E433" s="41" t="s">
        <v>5</v>
      </c>
      <c r="F433" s="45">
        <v>0</v>
      </c>
      <c r="G433" s="45"/>
      <c r="H433" s="45">
        <f>10.42+20.9</f>
        <v>31.32</v>
      </c>
      <c r="I433" s="50"/>
      <c r="J433" s="45">
        <f>ROUND(F433*I433,2)</f>
        <v>0</v>
      </c>
      <c r="K433" s="168"/>
      <c r="M433" s="467"/>
    </row>
    <row r="434" spans="1:16" hidden="1" x14ac:dyDescent="0.2">
      <c r="A434" s="38" t="s">
        <v>192</v>
      </c>
      <c r="B434" s="39"/>
      <c r="C434" s="39"/>
      <c r="D434" s="40" t="s">
        <v>190</v>
      </c>
      <c r="E434" s="38" t="s">
        <v>5</v>
      </c>
      <c r="F434" s="45">
        <v>0</v>
      </c>
      <c r="G434" s="45"/>
      <c r="H434" s="45">
        <v>7.72</v>
      </c>
      <c r="I434" s="50"/>
      <c r="J434" s="45">
        <f>ROUND(F434*I434,2)</f>
        <v>0</v>
      </c>
      <c r="K434" s="166"/>
      <c r="M434" s="467"/>
    </row>
    <row r="435" spans="1:16" hidden="1" x14ac:dyDescent="0.2">
      <c r="A435" s="27"/>
      <c r="B435" s="28"/>
      <c r="C435" s="28"/>
      <c r="D435" s="29" t="s">
        <v>172</v>
      </c>
      <c r="E435" s="27"/>
      <c r="F435" s="48"/>
      <c r="G435" s="48"/>
      <c r="H435" s="48"/>
      <c r="I435" s="50"/>
      <c r="J435" s="49">
        <f>SUM(J431:J434)</f>
        <v>0</v>
      </c>
      <c r="K435" s="166"/>
      <c r="M435" s="467"/>
    </row>
    <row r="436" spans="1:16" x14ac:dyDescent="0.2">
      <c r="A436" s="4">
        <v>2</v>
      </c>
      <c r="B436" s="5"/>
      <c r="C436" s="5"/>
      <c r="D436" s="6" t="s">
        <v>72</v>
      </c>
      <c r="E436" s="267"/>
      <c r="F436" s="47"/>
      <c r="G436" s="47"/>
      <c r="H436" s="47"/>
      <c r="I436" s="50"/>
      <c r="J436" s="47"/>
      <c r="K436" s="166"/>
      <c r="M436" s="467"/>
    </row>
    <row r="437" spans="1:16" ht="24" hidden="1" x14ac:dyDescent="0.2">
      <c r="A437" s="38" t="s">
        <v>36</v>
      </c>
      <c r="B437" s="39" t="s">
        <v>24</v>
      </c>
      <c r="C437" s="39" t="s">
        <v>206</v>
      </c>
      <c r="D437" s="40" t="s">
        <v>193</v>
      </c>
      <c r="E437" s="41" t="s">
        <v>5</v>
      </c>
      <c r="F437" s="45">
        <v>0</v>
      </c>
      <c r="G437" s="45">
        <v>13.63</v>
      </c>
      <c r="H437" s="45">
        <f>10.42+20.9</f>
        <v>31.32</v>
      </c>
      <c r="I437" s="45">
        <f t="shared" ref="I437:I448" si="83">ROUND(H437*(1+$E$168),2)</f>
        <v>37.89</v>
      </c>
      <c r="J437" s="45">
        <f>ROUND(F437*I437,2)</f>
        <v>0</v>
      </c>
      <c r="K437" s="166"/>
      <c r="L437" s="51"/>
      <c r="M437" s="467"/>
    </row>
    <row r="438" spans="1:16" hidden="1" x14ac:dyDescent="0.2">
      <c r="A438" s="38" t="s">
        <v>37</v>
      </c>
      <c r="B438" s="39"/>
      <c r="C438" s="39"/>
      <c r="D438" s="40" t="s">
        <v>194</v>
      </c>
      <c r="E438" s="41" t="s">
        <v>5</v>
      </c>
      <c r="F438" s="45">
        <v>0</v>
      </c>
      <c r="G438" s="45">
        <v>2.6</v>
      </c>
      <c r="H438" s="45">
        <v>7.72</v>
      </c>
      <c r="I438" s="45">
        <f t="shared" si="83"/>
        <v>9.34</v>
      </c>
      <c r="J438" s="45">
        <f t="shared" ref="J438:J447" si="84">ROUND(F438*I438,2)</f>
        <v>0</v>
      </c>
      <c r="K438" s="166"/>
      <c r="M438" s="467"/>
    </row>
    <row r="439" spans="1:16" x14ac:dyDescent="0.2">
      <c r="A439" s="38" t="s">
        <v>27</v>
      </c>
      <c r="B439" s="39" t="s">
        <v>23</v>
      </c>
      <c r="C439" s="39">
        <v>4011276</v>
      </c>
      <c r="D439" s="40" t="s">
        <v>148</v>
      </c>
      <c r="E439" s="41" t="s">
        <v>5</v>
      </c>
      <c r="F439" s="45">
        <f>ROUND(215.99*0.16,2)</f>
        <v>34.56</v>
      </c>
      <c r="G439" s="45">
        <v>18.14</v>
      </c>
      <c r="H439" s="45">
        <v>97.1</v>
      </c>
      <c r="I439" s="45">
        <f t="shared" si="83"/>
        <v>117.46</v>
      </c>
      <c r="J439" s="45">
        <f t="shared" si="84"/>
        <v>4059.42</v>
      </c>
      <c r="K439" s="168"/>
      <c r="M439" s="467"/>
    </row>
    <row r="440" spans="1:16" s="8" customFormat="1" ht="12" x14ac:dyDescent="0.2">
      <c r="A440" s="38" t="s">
        <v>30</v>
      </c>
      <c r="B440" s="39" t="s">
        <v>23</v>
      </c>
      <c r="C440" s="39">
        <v>4011282</v>
      </c>
      <c r="D440" s="81" t="s">
        <v>271</v>
      </c>
      <c r="E440" s="41" t="s">
        <v>239</v>
      </c>
      <c r="F440" s="45">
        <f>ROUND(215.99*0.25,2)</f>
        <v>54</v>
      </c>
      <c r="G440" s="45"/>
      <c r="H440" s="45">
        <v>79.67</v>
      </c>
      <c r="I440" s="45">
        <f t="shared" si="83"/>
        <v>96.38</v>
      </c>
      <c r="J440" s="45">
        <f t="shared" si="84"/>
        <v>5204.5200000000004</v>
      </c>
      <c r="K440" s="172"/>
      <c r="L440" s="26"/>
      <c r="M440" s="466"/>
      <c r="N440" s="164"/>
      <c r="O440" s="164"/>
      <c r="P440" s="17"/>
    </row>
    <row r="441" spans="1:16" s="58" customFormat="1" ht="12" x14ac:dyDescent="0.2">
      <c r="A441" s="38" t="s">
        <v>191</v>
      </c>
      <c r="B441" s="39" t="s">
        <v>24</v>
      </c>
      <c r="C441" s="39">
        <v>72844</v>
      </c>
      <c r="D441" s="40" t="s">
        <v>175</v>
      </c>
      <c r="E441" s="41" t="s">
        <v>8</v>
      </c>
      <c r="F441" s="45">
        <f>ROUND(((F439*2.4)+(F440*2.25)),2)</f>
        <v>204.44</v>
      </c>
      <c r="G441" s="45">
        <v>0.66</v>
      </c>
      <c r="H441" s="45">
        <v>0.7</v>
      </c>
      <c r="I441" s="45">
        <f t="shared" si="83"/>
        <v>0.85</v>
      </c>
      <c r="J441" s="45">
        <f>ROUND(F441*I441,2)</f>
        <v>173.77</v>
      </c>
      <c r="K441" s="65"/>
      <c r="L441" s="55"/>
      <c r="M441" s="461"/>
      <c r="N441" s="66"/>
      <c r="O441" s="66"/>
      <c r="P441" s="57"/>
    </row>
    <row r="442" spans="1:16" x14ac:dyDescent="0.2">
      <c r="A442" s="38" t="s">
        <v>192</v>
      </c>
      <c r="B442" s="39" t="s">
        <v>23</v>
      </c>
      <c r="C442" s="39">
        <v>5914389</v>
      </c>
      <c r="D442" s="40" t="s">
        <v>145</v>
      </c>
      <c r="E442" s="41" t="s">
        <v>35</v>
      </c>
      <c r="F442" s="45">
        <f>ROUND((F441*9),2)</f>
        <v>1839.96</v>
      </c>
      <c r="G442" s="45">
        <v>17.45</v>
      </c>
      <c r="H442" s="45">
        <v>0.47</v>
      </c>
      <c r="I442" s="45">
        <f t="shared" si="83"/>
        <v>0.56999999999999995</v>
      </c>
      <c r="J442" s="472">
        <f>ROUND(F442*I442,2)</f>
        <v>1048.78</v>
      </c>
      <c r="K442" s="489"/>
      <c r="M442" s="467"/>
    </row>
    <row r="443" spans="1:16" x14ac:dyDescent="0.2">
      <c r="A443" s="38" t="s">
        <v>218</v>
      </c>
      <c r="B443" s="39" t="s">
        <v>24</v>
      </c>
      <c r="C443" s="39">
        <v>96401</v>
      </c>
      <c r="D443" s="40" t="s">
        <v>149</v>
      </c>
      <c r="E443" s="41" t="s">
        <v>6</v>
      </c>
      <c r="F443" s="45">
        <f>17+198.99</f>
        <v>215.99</v>
      </c>
      <c r="G443" s="45">
        <v>72.790000000000006</v>
      </c>
      <c r="H443" s="45">
        <v>4.12</v>
      </c>
      <c r="I443" s="45">
        <f t="shared" si="83"/>
        <v>4.9800000000000004</v>
      </c>
      <c r="J443" s="472">
        <f t="shared" si="84"/>
        <v>1075.6300000000001</v>
      </c>
      <c r="K443" s="483"/>
      <c r="M443" s="467"/>
    </row>
    <row r="444" spans="1:16" x14ac:dyDescent="0.2">
      <c r="A444" s="38" t="s">
        <v>219</v>
      </c>
      <c r="B444" s="39" t="s">
        <v>24</v>
      </c>
      <c r="C444" s="39">
        <v>72943</v>
      </c>
      <c r="D444" s="40" t="s">
        <v>150</v>
      </c>
      <c r="E444" s="41" t="s">
        <v>6</v>
      </c>
      <c r="F444" s="45">
        <f>357.92+20.3+198.99+613.58+53.87+122.79+210.98+97.08+180.56+17+114.45+140.89</f>
        <v>2128.41</v>
      </c>
      <c r="G444" s="46"/>
      <c r="H444" s="45">
        <v>1.3</v>
      </c>
      <c r="I444" s="45">
        <f t="shared" si="83"/>
        <v>1.57</v>
      </c>
      <c r="J444" s="472">
        <f t="shared" si="84"/>
        <v>3341.6</v>
      </c>
      <c r="K444" s="483"/>
      <c r="M444" s="467"/>
    </row>
    <row r="445" spans="1:16" s="64" customFormat="1" ht="24" x14ac:dyDescent="0.2">
      <c r="A445" s="38" t="s">
        <v>220</v>
      </c>
      <c r="B445" s="39" t="s">
        <v>24</v>
      </c>
      <c r="C445" s="39">
        <v>95995</v>
      </c>
      <c r="D445" s="40" t="s">
        <v>397</v>
      </c>
      <c r="E445" s="41" t="s">
        <v>239</v>
      </c>
      <c r="F445" s="45">
        <f>(357.92+20.3+613.58+53.87+122.79+210.98+97.08+180.56+114.45+140.89)*0.05</f>
        <v>95.621000000000009</v>
      </c>
      <c r="G445" s="45"/>
      <c r="H445" s="45">
        <v>690.21</v>
      </c>
      <c r="I445" s="45">
        <f t="shared" si="83"/>
        <v>834.95</v>
      </c>
      <c r="J445" s="472">
        <f t="shared" si="84"/>
        <v>79838.75</v>
      </c>
      <c r="K445" s="483"/>
      <c r="M445" s="486"/>
    </row>
    <row r="446" spans="1:16" s="64" customFormat="1" ht="24" x14ac:dyDescent="0.2">
      <c r="A446" s="38" t="s">
        <v>221</v>
      </c>
      <c r="B446" s="39" t="s">
        <v>24</v>
      </c>
      <c r="C446" s="39">
        <v>95999</v>
      </c>
      <c r="D446" s="40" t="s">
        <v>398</v>
      </c>
      <c r="E446" s="41" t="s">
        <v>239</v>
      </c>
      <c r="F446" s="45">
        <f>(198.99+17)*0.075</f>
        <v>16.199249999999999</v>
      </c>
      <c r="G446" s="45"/>
      <c r="H446" s="45">
        <v>672.28</v>
      </c>
      <c r="I446" s="45">
        <f t="shared" si="83"/>
        <v>813.26</v>
      </c>
      <c r="J446" s="472">
        <f t="shared" si="84"/>
        <v>13174.2</v>
      </c>
      <c r="K446" s="483"/>
      <c r="M446" s="486"/>
    </row>
    <row r="447" spans="1:16" s="8" customFormat="1" ht="24" x14ac:dyDescent="0.2">
      <c r="A447" s="38" t="s">
        <v>237</v>
      </c>
      <c r="B447" s="39" t="s">
        <v>24</v>
      </c>
      <c r="C447" s="39">
        <v>72846</v>
      </c>
      <c r="D447" s="40" t="s">
        <v>152</v>
      </c>
      <c r="E447" s="41" t="s">
        <v>8</v>
      </c>
      <c r="F447" s="45">
        <f>ROUND((F445+F446)*2.425,2)</f>
        <v>271.16000000000003</v>
      </c>
      <c r="G447" s="45">
        <v>3.25</v>
      </c>
      <c r="H447" s="45">
        <v>3.5</v>
      </c>
      <c r="I447" s="45">
        <f t="shared" si="83"/>
        <v>4.2300000000000004</v>
      </c>
      <c r="J447" s="472">
        <f t="shared" si="84"/>
        <v>1147.01</v>
      </c>
      <c r="K447" s="483"/>
      <c r="L447" s="26"/>
      <c r="M447" s="466"/>
      <c r="N447" s="164"/>
      <c r="O447" s="164"/>
      <c r="P447" s="17"/>
    </row>
    <row r="448" spans="1:16" x14ac:dyDescent="0.2">
      <c r="A448" s="38" t="s">
        <v>259</v>
      </c>
      <c r="B448" s="39" t="s">
        <v>24</v>
      </c>
      <c r="C448" s="39">
        <v>93177</v>
      </c>
      <c r="D448" s="40" t="s">
        <v>211</v>
      </c>
      <c r="E448" s="41" t="s">
        <v>35</v>
      </c>
      <c r="F448" s="45">
        <f>ROUND(F447*19,2)</f>
        <v>5152.04</v>
      </c>
      <c r="G448" s="45">
        <v>0.66</v>
      </c>
      <c r="H448" s="45">
        <v>1.44</v>
      </c>
      <c r="I448" s="45">
        <f t="shared" si="83"/>
        <v>1.74</v>
      </c>
      <c r="J448" s="472">
        <f>ROUND(F448*I448,2)</f>
        <v>8964.5499999999993</v>
      </c>
      <c r="K448" s="483"/>
      <c r="M448" s="467"/>
    </row>
    <row r="449" spans="1:16" x14ac:dyDescent="0.2">
      <c r="A449" s="27"/>
      <c r="B449" s="28"/>
      <c r="C449" s="28"/>
      <c r="D449" s="29" t="s">
        <v>172</v>
      </c>
      <c r="E449" s="27"/>
      <c r="F449" s="48"/>
      <c r="G449" s="48"/>
      <c r="H449" s="48"/>
      <c r="I449" s="50"/>
      <c r="J449" s="480">
        <f>SUM(J437:J448)</f>
        <v>118028.23</v>
      </c>
      <c r="K449" s="490"/>
      <c r="M449" s="467"/>
    </row>
    <row r="450" spans="1:16" s="8" customFormat="1" ht="12" x14ac:dyDescent="0.2">
      <c r="A450" s="4">
        <v>3</v>
      </c>
      <c r="B450" s="5"/>
      <c r="C450" s="5"/>
      <c r="D450" s="6" t="s">
        <v>154</v>
      </c>
      <c r="E450" s="267"/>
      <c r="F450" s="47"/>
      <c r="G450" s="47"/>
      <c r="H450" s="47"/>
      <c r="I450" s="50"/>
      <c r="J450" s="481"/>
      <c r="K450" s="491"/>
      <c r="L450" s="26"/>
      <c r="M450" s="466"/>
      <c r="N450" s="9"/>
      <c r="O450" s="9"/>
      <c r="P450" s="9"/>
    </row>
    <row r="451" spans="1:16" s="8" customFormat="1" ht="12" x14ac:dyDescent="0.2">
      <c r="A451" s="10" t="s">
        <v>36</v>
      </c>
      <c r="B451" s="11"/>
      <c r="C451" s="11"/>
      <c r="D451" s="12" t="s">
        <v>130</v>
      </c>
      <c r="E451" s="13"/>
      <c r="F451" s="46"/>
      <c r="G451" s="46"/>
      <c r="H451" s="46"/>
      <c r="I451" s="50"/>
      <c r="J451" s="46"/>
      <c r="K451" s="170"/>
      <c r="L451" s="26"/>
      <c r="M451" s="466"/>
      <c r="N451" s="164"/>
      <c r="O451" s="164"/>
      <c r="P451" s="17"/>
    </row>
    <row r="452" spans="1:16" s="58" customFormat="1" ht="24" x14ac:dyDescent="0.2">
      <c r="A452" s="38" t="s">
        <v>399</v>
      </c>
      <c r="B452" s="39" t="s">
        <v>24</v>
      </c>
      <c r="C452" s="39">
        <v>94273</v>
      </c>
      <c r="D452" s="40" t="s">
        <v>177</v>
      </c>
      <c r="E452" s="41" t="s">
        <v>9</v>
      </c>
      <c r="F452" s="45">
        <v>345.93</v>
      </c>
      <c r="G452" s="45">
        <v>30.9</v>
      </c>
      <c r="H452" s="45">
        <v>33.1</v>
      </c>
      <c r="I452" s="45">
        <f>ROUND(H452*(1+$E$168),2)</f>
        <v>40.04</v>
      </c>
      <c r="J452" s="45">
        <f t="shared" ref="J452:J453" si="85">ROUND(F452*I452,2)</f>
        <v>13851.04</v>
      </c>
      <c r="K452" s="65"/>
      <c r="L452" s="55"/>
      <c r="M452" s="454"/>
      <c r="N452" s="66"/>
      <c r="O452" s="66"/>
      <c r="P452" s="57"/>
    </row>
    <row r="453" spans="1:16" s="58" customFormat="1" ht="24" x14ac:dyDescent="0.2">
      <c r="A453" s="38" t="s">
        <v>222</v>
      </c>
      <c r="B453" s="39"/>
      <c r="C453" s="39" t="s">
        <v>100</v>
      </c>
      <c r="D453" s="40" t="s">
        <v>272</v>
      </c>
      <c r="E453" s="41" t="s">
        <v>9</v>
      </c>
      <c r="F453" s="45">
        <v>222.16</v>
      </c>
      <c r="G453" s="45">
        <v>30.9</v>
      </c>
      <c r="H453" s="45">
        <v>8.83</v>
      </c>
      <c r="I453" s="45">
        <f>ROUND(H453*(1+$E$168),2)</f>
        <v>10.68</v>
      </c>
      <c r="J453" s="45">
        <f t="shared" si="85"/>
        <v>2372.67</v>
      </c>
      <c r="K453" s="65"/>
      <c r="L453" s="55"/>
      <c r="M453" s="454"/>
      <c r="N453" s="66"/>
      <c r="O453" s="66"/>
      <c r="P453" s="57"/>
    </row>
    <row r="454" spans="1:16" s="8" customFormat="1" ht="12" x14ac:dyDescent="0.2">
      <c r="A454" s="10" t="s">
        <v>37</v>
      </c>
      <c r="B454" s="11"/>
      <c r="C454" s="11"/>
      <c r="D454" s="12" t="s">
        <v>78</v>
      </c>
      <c r="E454" s="13"/>
      <c r="F454" s="46"/>
      <c r="G454" s="46"/>
      <c r="H454" s="46"/>
      <c r="I454" s="50"/>
      <c r="J454" s="50"/>
      <c r="K454" s="170"/>
      <c r="L454" s="26"/>
      <c r="M454" s="460"/>
      <c r="N454" s="164"/>
      <c r="O454" s="164"/>
      <c r="P454" s="17"/>
    </row>
    <row r="455" spans="1:16" s="8" customFormat="1" ht="12" x14ac:dyDescent="0.2">
      <c r="A455" s="10" t="s">
        <v>223</v>
      </c>
      <c r="B455" s="11"/>
      <c r="C455" s="11"/>
      <c r="D455" s="12" t="s">
        <v>80</v>
      </c>
      <c r="E455" s="13"/>
      <c r="F455" s="46"/>
      <c r="G455" s="46"/>
      <c r="H455" s="46"/>
      <c r="I455" s="50"/>
      <c r="J455" s="50"/>
      <c r="K455" s="170"/>
      <c r="L455" s="26"/>
      <c r="M455" s="460"/>
      <c r="N455" s="164"/>
      <c r="O455" s="164"/>
      <c r="P455" s="17"/>
    </row>
    <row r="456" spans="1:16" s="8" customFormat="1" ht="12" x14ac:dyDescent="0.2">
      <c r="A456" s="38" t="s">
        <v>224</v>
      </c>
      <c r="B456" s="39" t="s">
        <v>23</v>
      </c>
      <c r="C456" s="39">
        <v>2003849</v>
      </c>
      <c r="D456" s="40" t="s">
        <v>213</v>
      </c>
      <c r="E456" s="41" t="s">
        <v>5</v>
      </c>
      <c r="F456" s="45">
        <f>ROUND(F460*0.05,2)</f>
        <v>24.2</v>
      </c>
      <c r="G456" s="45">
        <v>91.67</v>
      </c>
      <c r="H456" s="45">
        <v>66.44</v>
      </c>
      <c r="I456" s="45">
        <f>ROUND(H456*(1+$E$168),2)</f>
        <v>80.37</v>
      </c>
      <c r="J456" s="45">
        <f t="shared" ref="J456:J458" si="86">ROUND(F456*I456,2)</f>
        <v>1944.95</v>
      </c>
      <c r="K456" s="161"/>
      <c r="L456" s="26"/>
      <c r="M456" s="454"/>
      <c r="N456" s="164"/>
      <c r="O456" s="164"/>
      <c r="P456" s="17"/>
    </row>
    <row r="457" spans="1:16" s="8" customFormat="1" ht="12" x14ac:dyDescent="0.2">
      <c r="A457" s="38" t="s">
        <v>225</v>
      </c>
      <c r="B457" s="39" t="s">
        <v>24</v>
      </c>
      <c r="C457" s="39">
        <v>72844</v>
      </c>
      <c r="D457" s="40" t="s">
        <v>175</v>
      </c>
      <c r="E457" s="41" t="s">
        <v>8</v>
      </c>
      <c r="F457" s="45">
        <f>ROUND(23.46*1.8,2)</f>
        <v>42.23</v>
      </c>
      <c r="G457" s="45">
        <v>0.66</v>
      </c>
      <c r="H457" s="45">
        <v>0.7</v>
      </c>
      <c r="I457" s="45">
        <f>ROUND(H457*(1+$E$168),2)</f>
        <v>0.85</v>
      </c>
      <c r="J457" s="45">
        <f t="shared" si="86"/>
        <v>35.9</v>
      </c>
      <c r="K457" s="172"/>
      <c r="L457" s="26"/>
      <c r="M457" s="454"/>
      <c r="N457" s="164"/>
      <c r="O457" s="164"/>
      <c r="P457" s="17"/>
    </row>
    <row r="458" spans="1:16" s="58" customFormat="1" ht="12" x14ac:dyDescent="0.2">
      <c r="A458" s="38" t="s">
        <v>226</v>
      </c>
      <c r="B458" s="39" t="s">
        <v>23</v>
      </c>
      <c r="C458" s="39">
        <v>5914389</v>
      </c>
      <c r="D458" s="40" t="s">
        <v>145</v>
      </c>
      <c r="E458" s="41" t="s">
        <v>35</v>
      </c>
      <c r="F458" s="45">
        <f>ROUND(42.23*9,2)</f>
        <v>380.07</v>
      </c>
      <c r="G458" s="45">
        <v>0.4</v>
      </c>
      <c r="H458" s="45">
        <v>0.47</v>
      </c>
      <c r="I458" s="45">
        <f>ROUND(H458*(1+$E$168),2)</f>
        <v>0.56999999999999995</v>
      </c>
      <c r="J458" s="45">
        <f t="shared" si="86"/>
        <v>216.64</v>
      </c>
      <c r="K458" s="65"/>
      <c r="L458" s="55"/>
      <c r="M458" s="454"/>
      <c r="N458" s="66"/>
      <c r="O458" s="66"/>
      <c r="P458" s="57"/>
    </row>
    <row r="459" spans="1:16" s="8" customFormat="1" ht="12" x14ac:dyDescent="0.2">
      <c r="A459" s="53" t="s">
        <v>227</v>
      </c>
      <c r="B459" s="60"/>
      <c r="C459" s="60"/>
      <c r="D459" s="61" t="s">
        <v>235</v>
      </c>
      <c r="E459" s="62"/>
      <c r="F459" s="173"/>
      <c r="G459" s="173">
        <v>46.09</v>
      </c>
      <c r="H459" s="173"/>
      <c r="I459" s="50"/>
      <c r="J459" s="173"/>
      <c r="K459" s="161"/>
      <c r="L459" s="26"/>
      <c r="M459" s="264"/>
      <c r="N459" s="164"/>
      <c r="O459" s="164"/>
      <c r="P459" s="17"/>
    </row>
    <row r="460" spans="1:16" s="58" customFormat="1" ht="12" x14ac:dyDescent="0.2">
      <c r="A460" s="38" t="s">
        <v>400</v>
      </c>
      <c r="B460" s="39" t="s">
        <v>24</v>
      </c>
      <c r="C460" s="39">
        <v>94994</v>
      </c>
      <c r="D460" s="44" t="s">
        <v>273</v>
      </c>
      <c r="E460" s="41" t="s">
        <v>6</v>
      </c>
      <c r="F460" s="65">
        <f>14.62+80.05+130.48+180.83+77.93</f>
        <v>483.91</v>
      </c>
      <c r="G460" s="45">
        <v>46.09</v>
      </c>
      <c r="H460" s="45">
        <v>67.13</v>
      </c>
      <c r="I460" s="45">
        <f t="shared" ref="I460:I466" si="87">ROUND(H460*(1+$E$168),2)</f>
        <v>81.209999999999994</v>
      </c>
      <c r="J460" s="45">
        <f t="shared" ref="J460:J462" si="88">ROUND(F460*I460,2)</f>
        <v>39298.33</v>
      </c>
      <c r="K460" s="65"/>
      <c r="L460" s="55"/>
      <c r="M460" s="454"/>
      <c r="N460" s="66"/>
      <c r="O460" s="66"/>
      <c r="P460" s="57"/>
    </row>
    <row r="461" spans="1:16" s="58" customFormat="1" ht="24" x14ac:dyDescent="0.2">
      <c r="A461" s="38" t="s">
        <v>234</v>
      </c>
      <c r="B461" s="39"/>
      <c r="C461" s="39" t="s">
        <v>100</v>
      </c>
      <c r="D461" s="40" t="s">
        <v>155</v>
      </c>
      <c r="E461" s="41" t="s">
        <v>6</v>
      </c>
      <c r="F461" s="45">
        <f>10.67+10.63+13.75+17.79</f>
        <v>52.839999999999996</v>
      </c>
      <c r="G461" s="45">
        <v>55.75</v>
      </c>
      <c r="H461" s="45">
        <f>COMP!E91</f>
        <v>51.944099999999999</v>
      </c>
      <c r="I461" s="45">
        <f t="shared" si="87"/>
        <v>62.84</v>
      </c>
      <c r="J461" s="45">
        <f t="shared" si="88"/>
        <v>3320.47</v>
      </c>
      <c r="K461" s="65"/>
      <c r="L461" s="55"/>
      <c r="M461" s="454"/>
      <c r="N461" s="66"/>
      <c r="O461" s="66"/>
      <c r="P461" s="57"/>
    </row>
    <row r="462" spans="1:16" s="58" customFormat="1" ht="12" x14ac:dyDescent="0.2">
      <c r="A462" s="38" t="s">
        <v>41</v>
      </c>
      <c r="B462" s="39"/>
      <c r="C462" s="39" t="s">
        <v>100</v>
      </c>
      <c r="D462" s="40" t="s">
        <v>236</v>
      </c>
      <c r="E462" s="41" t="s">
        <v>9</v>
      </c>
      <c r="F462" s="45">
        <v>48.4</v>
      </c>
      <c r="G462" s="45">
        <v>10.56</v>
      </c>
      <c r="H462" s="45">
        <v>222.99</v>
      </c>
      <c r="I462" s="45">
        <f t="shared" si="87"/>
        <v>269.75</v>
      </c>
      <c r="J462" s="45">
        <f t="shared" si="88"/>
        <v>13055.9</v>
      </c>
      <c r="K462" s="65"/>
      <c r="L462" s="55"/>
      <c r="M462" s="454"/>
      <c r="N462" s="66"/>
      <c r="O462" s="66"/>
      <c r="P462" s="57"/>
    </row>
    <row r="463" spans="1:16" s="8" customFormat="1" ht="12" hidden="1" x14ac:dyDescent="0.2">
      <c r="A463" s="10" t="s">
        <v>74</v>
      </c>
      <c r="B463" s="11" t="s">
        <v>24</v>
      </c>
      <c r="C463" s="11">
        <v>84862</v>
      </c>
      <c r="D463" s="12" t="s">
        <v>157</v>
      </c>
      <c r="E463" s="13" t="s">
        <v>9</v>
      </c>
      <c r="F463" s="46"/>
      <c r="G463" s="46"/>
      <c r="H463" s="46"/>
      <c r="I463" s="45">
        <f t="shared" si="87"/>
        <v>0</v>
      </c>
      <c r="J463" s="50"/>
      <c r="K463" s="170"/>
      <c r="L463" s="26"/>
      <c r="M463" s="460"/>
      <c r="N463" s="164"/>
      <c r="O463" s="164"/>
      <c r="P463" s="17"/>
    </row>
    <row r="464" spans="1:16" s="8" customFormat="1" ht="12" hidden="1" x14ac:dyDescent="0.2">
      <c r="A464" s="10" t="s">
        <v>76</v>
      </c>
      <c r="B464" s="11"/>
      <c r="C464" s="11" t="s">
        <v>100</v>
      </c>
      <c r="D464" s="12" t="s">
        <v>158</v>
      </c>
      <c r="E464" s="13" t="s">
        <v>9</v>
      </c>
      <c r="F464" s="46"/>
      <c r="G464" s="46"/>
      <c r="H464" s="46"/>
      <c r="I464" s="45">
        <f t="shared" si="87"/>
        <v>0</v>
      </c>
      <c r="J464" s="50"/>
      <c r="K464" s="170"/>
      <c r="L464" s="26"/>
      <c r="M464" s="460"/>
      <c r="N464" s="164"/>
      <c r="O464" s="164"/>
      <c r="P464" s="17"/>
    </row>
    <row r="465" spans="1:39" s="58" customFormat="1" ht="12" x14ac:dyDescent="0.2">
      <c r="A465" s="38" t="s">
        <v>42</v>
      </c>
      <c r="B465" s="39" t="s">
        <v>24</v>
      </c>
      <c r="C465" s="39">
        <v>85180</v>
      </c>
      <c r="D465" s="40" t="s">
        <v>156</v>
      </c>
      <c r="E465" s="41" t="s">
        <v>6</v>
      </c>
      <c r="F465" s="57">
        <f>193.6+67.81+38.52+13.4+25.34</f>
        <v>338.6699999999999</v>
      </c>
      <c r="G465" s="45">
        <v>10.56</v>
      </c>
      <c r="H465" s="45">
        <v>14.14</v>
      </c>
      <c r="I465" s="45">
        <f t="shared" si="87"/>
        <v>17.11</v>
      </c>
      <c r="J465" s="45">
        <f t="shared" ref="J465:J466" si="89">ROUND(F465*I465,2)</f>
        <v>5794.64</v>
      </c>
      <c r="K465" s="65"/>
      <c r="L465" s="55"/>
      <c r="M465" s="454"/>
      <c r="N465" s="66"/>
      <c r="O465" s="66"/>
      <c r="P465" s="57"/>
    </row>
    <row r="466" spans="1:39" s="8" customFormat="1" ht="12" x14ac:dyDescent="0.2">
      <c r="A466" s="38" t="s">
        <v>44</v>
      </c>
      <c r="B466" s="39" t="s">
        <v>24</v>
      </c>
      <c r="C466" s="39" t="s">
        <v>478</v>
      </c>
      <c r="D466" s="40" t="s">
        <v>159</v>
      </c>
      <c r="E466" s="41" t="s">
        <v>6</v>
      </c>
      <c r="F466" s="45">
        <f>357.92+20.3+198.99+613.58+53.87+122.79+210.98+97.08+180.56+17+114.45+140.89+14.62+80.05+130.48+180.83+77.93+193.6+67.81+38.52+13.4+25.34+10.67+10.63+13.75+17.79+10.67+10.63+13.75+17.79</f>
        <v>3056.67</v>
      </c>
      <c r="G466" s="45">
        <v>2.19</v>
      </c>
      <c r="H466" s="45">
        <v>1.66</v>
      </c>
      <c r="I466" s="45">
        <f t="shared" si="87"/>
        <v>2.0099999999999998</v>
      </c>
      <c r="J466" s="45">
        <f t="shared" si="89"/>
        <v>6143.91</v>
      </c>
      <c r="K466" s="172"/>
      <c r="L466" s="26"/>
      <c r="M466" s="454"/>
      <c r="N466" s="164"/>
      <c r="O466" s="164"/>
      <c r="P466" s="17"/>
    </row>
    <row r="467" spans="1:39" x14ac:dyDescent="0.2">
      <c r="A467" s="27"/>
      <c r="B467" s="28"/>
      <c r="C467" s="28"/>
      <c r="D467" s="29" t="s">
        <v>172</v>
      </c>
      <c r="E467" s="27"/>
      <c r="F467" s="48"/>
      <c r="G467" s="48"/>
      <c r="H467" s="48"/>
      <c r="I467" s="50"/>
      <c r="J467" s="49">
        <f>SUM(J452:J466)</f>
        <v>86034.45</v>
      </c>
      <c r="K467" s="168"/>
      <c r="M467" s="467"/>
    </row>
    <row r="468" spans="1:39" x14ac:dyDescent="0.2">
      <c r="A468" s="10"/>
      <c r="B468" s="11"/>
      <c r="C468" s="11"/>
      <c r="D468" s="12"/>
      <c r="E468" s="13"/>
      <c r="F468" s="46"/>
      <c r="G468" s="46"/>
      <c r="H468" s="46"/>
      <c r="I468" s="50"/>
      <c r="J468" s="46"/>
      <c r="K468" s="168"/>
      <c r="M468" s="467"/>
    </row>
    <row r="469" spans="1:39" x14ac:dyDescent="0.2">
      <c r="A469" s="4">
        <v>4</v>
      </c>
      <c r="B469" s="5"/>
      <c r="C469" s="5"/>
      <c r="D469" s="6" t="s">
        <v>195</v>
      </c>
      <c r="E469" s="267"/>
      <c r="F469" s="47"/>
      <c r="G469" s="47"/>
      <c r="H469" s="47"/>
      <c r="I469" s="50"/>
      <c r="J469" s="47"/>
      <c r="K469" s="168"/>
      <c r="M469" s="467"/>
    </row>
    <row r="470" spans="1:39" s="8" customFormat="1" ht="12" x14ac:dyDescent="0.2">
      <c r="A470" s="10" t="s">
        <v>62</v>
      </c>
      <c r="B470" s="11"/>
      <c r="C470" s="11"/>
      <c r="D470" s="12" t="s">
        <v>85</v>
      </c>
      <c r="E470" s="13"/>
      <c r="F470" s="46"/>
      <c r="G470" s="46"/>
      <c r="H470" s="46"/>
      <c r="I470" s="50"/>
      <c r="J470" s="46"/>
      <c r="K470" s="161"/>
      <c r="L470" s="26"/>
      <c r="M470" s="466"/>
      <c r="N470" s="164"/>
      <c r="O470" s="164"/>
      <c r="P470" s="17"/>
    </row>
    <row r="471" spans="1:39" s="8" customFormat="1" ht="24" x14ac:dyDescent="0.2">
      <c r="A471" s="38" t="s">
        <v>265</v>
      </c>
      <c r="B471" s="39" t="s">
        <v>24</v>
      </c>
      <c r="C471" s="39">
        <v>72947</v>
      </c>
      <c r="D471" s="40" t="s">
        <v>161</v>
      </c>
      <c r="E471" s="41" t="s">
        <v>6</v>
      </c>
      <c r="F471" s="45">
        <f>ROUND(8.4+28.23,2)</f>
        <v>36.630000000000003</v>
      </c>
      <c r="G471" s="45">
        <v>21.21</v>
      </c>
      <c r="H471" s="45">
        <v>20.329999999999998</v>
      </c>
      <c r="I471" s="45">
        <f>ROUND(H471*(1+$E$168),2)</f>
        <v>24.59</v>
      </c>
      <c r="J471" s="45">
        <f t="shared" ref="J471:J472" si="90">ROUND(F471*I471,2)</f>
        <v>900.73</v>
      </c>
      <c r="K471" s="161"/>
      <c r="L471" s="26"/>
      <c r="M471" s="15"/>
      <c r="N471" s="164"/>
      <c r="O471" s="164"/>
      <c r="P471" s="17"/>
    </row>
    <row r="472" spans="1:39" s="8" customFormat="1" ht="12" x14ac:dyDescent="0.2">
      <c r="A472" s="38" t="s">
        <v>266</v>
      </c>
      <c r="B472" s="39" t="s">
        <v>23</v>
      </c>
      <c r="C472" s="39">
        <v>5214003</v>
      </c>
      <c r="D472" s="40" t="s">
        <v>162</v>
      </c>
      <c r="E472" s="41" t="s">
        <v>6</v>
      </c>
      <c r="F472" s="45">
        <v>129.32</v>
      </c>
      <c r="G472" s="45">
        <v>46.1</v>
      </c>
      <c r="H472" s="45">
        <v>42.12</v>
      </c>
      <c r="I472" s="45">
        <f>ROUND(H472*(1+$E$168),2)</f>
        <v>50.95</v>
      </c>
      <c r="J472" s="45">
        <f t="shared" si="90"/>
        <v>6588.85</v>
      </c>
      <c r="K472" s="161"/>
      <c r="L472" s="26"/>
      <c r="M472" s="15"/>
      <c r="N472" s="164"/>
      <c r="O472" s="164"/>
      <c r="P472" s="17"/>
    </row>
    <row r="473" spans="1:39" s="8" customFormat="1" ht="12" hidden="1" x14ac:dyDescent="0.2">
      <c r="A473" s="38" t="s">
        <v>267</v>
      </c>
      <c r="B473" s="11" t="s">
        <v>23</v>
      </c>
      <c r="C473" s="11" t="s">
        <v>21</v>
      </c>
      <c r="D473" s="12" t="s">
        <v>163</v>
      </c>
      <c r="E473" s="13" t="s">
        <v>7</v>
      </c>
      <c r="F473" s="46"/>
      <c r="G473" s="46"/>
      <c r="H473" s="45">
        <f>ROUND(G473*(1+$E$608),2)</f>
        <v>0</v>
      </c>
      <c r="I473" s="45">
        <f>ROUND(H473*(1+$E$168),2)</f>
        <v>0</v>
      </c>
      <c r="J473" s="50"/>
      <c r="K473" s="161"/>
      <c r="L473" s="26"/>
      <c r="M473" s="15"/>
      <c r="N473" s="164"/>
      <c r="O473" s="164"/>
      <c r="P473" s="17"/>
    </row>
    <row r="474" spans="1:39" s="58" customFormat="1" ht="12" x14ac:dyDescent="0.2">
      <c r="A474" s="38" t="s">
        <v>267</v>
      </c>
      <c r="B474" s="39" t="s">
        <v>23</v>
      </c>
      <c r="C474" s="39">
        <v>5213362</v>
      </c>
      <c r="D474" s="40" t="s">
        <v>86</v>
      </c>
      <c r="E474" s="41" t="s">
        <v>7</v>
      </c>
      <c r="F474" s="45">
        <v>72</v>
      </c>
      <c r="G474" s="45">
        <v>43.38</v>
      </c>
      <c r="H474" s="45">
        <v>39.01</v>
      </c>
      <c r="I474" s="45">
        <f>ROUND(H474*(1+$E$168),2)</f>
        <v>47.19</v>
      </c>
      <c r="J474" s="45">
        <f t="shared" ref="J474" si="91">ROUND(F474*I474,2)</f>
        <v>3397.68</v>
      </c>
      <c r="K474" s="161"/>
      <c r="L474" s="26"/>
      <c r="M474" s="15"/>
      <c r="N474" s="164"/>
      <c r="O474" s="164"/>
      <c r="P474" s="17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</row>
    <row r="475" spans="1:39" s="8" customFormat="1" ht="12" x14ac:dyDescent="0.2">
      <c r="A475" s="10" t="s">
        <v>63</v>
      </c>
      <c r="B475" s="11"/>
      <c r="C475" s="11"/>
      <c r="D475" s="12" t="s">
        <v>82</v>
      </c>
      <c r="E475" s="13"/>
      <c r="F475" s="46"/>
      <c r="G475" s="46"/>
      <c r="H475" s="46"/>
      <c r="I475" s="50"/>
      <c r="J475" s="50"/>
      <c r="K475" s="161"/>
      <c r="L475" s="26"/>
      <c r="M475" s="15"/>
      <c r="N475" s="164"/>
      <c r="O475" s="164"/>
      <c r="P475" s="17"/>
    </row>
    <row r="476" spans="1:39" s="8" customFormat="1" ht="26.25" customHeight="1" x14ac:dyDescent="0.2">
      <c r="A476" s="38" t="s">
        <v>268</v>
      </c>
      <c r="B476" s="39" t="s">
        <v>23</v>
      </c>
      <c r="C476" s="39">
        <v>5213863</v>
      </c>
      <c r="D476" s="40" t="s">
        <v>361</v>
      </c>
      <c r="E476" s="41" t="s">
        <v>7</v>
      </c>
      <c r="F476" s="45">
        <v>13</v>
      </c>
      <c r="G476" s="45">
        <v>117.36</v>
      </c>
      <c r="H476" s="45">
        <v>272.91000000000003</v>
      </c>
      <c r="I476" s="45">
        <f>ROUND(H476*(1+$E$168),2)</f>
        <v>330.14</v>
      </c>
      <c r="J476" s="45">
        <f t="shared" ref="J476:J490" si="92">ROUND(F476*I476,2)</f>
        <v>4291.82</v>
      </c>
      <c r="K476" s="161"/>
      <c r="L476" s="26"/>
      <c r="M476" s="15"/>
      <c r="N476" s="164"/>
      <c r="O476" s="164"/>
      <c r="P476" s="17"/>
    </row>
    <row r="477" spans="1:39" s="8" customFormat="1" ht="24" customHeight="1" x14ac:dyDescent="0.2">
      <c r="A477" s="38" t="s">
        <v>269</v>
      </c>
      <c r="B477" s="39" t="s">
        <v>23</v>
      </c>
      <c r="C477" s="39">
        <v>5213851</v>
      </c>
      <c r="D477" s="40" t="s">
        <v>362</v>
      </c>
      <c r="E477" s="41" t="s">
        <v>7</v>
      </c>
      <c r="F477" s="45">
        <v>6</v>
      </c>
      <c r="G477" s="45">
        <v>117.36</v>
      </c>
      <c r="H477" s="45">
        <v>216.43</v>
      </c>
      <c r="I477" s="45">
        <f>ROUND(H477*(1+$E$168),2)</f>
        <v>261.82</v>
      </c>
      <c r="J477" s="45">
        <f t="shared" si="92"/>
        <v>1570.92</v>
      </c>
      <c r="K477" s="161"/>
      <c r="L477" s="26"/>
      <c r="M477" s="15"/>
      <c r="N477" s="164"/>
      <c r="O477" s="164"/>
      <c r="P477" s="17"/>
    </row>
    <row r="478" spans="1:39" s="142" customFormat="1" ht="24" x14ac:dyDescent="0.2">
      <c r="A478" s="38" t="s">
        <v>270</v>
      </c>
      <c r="B478" s="39" t="s">
        <v>23</v>
      </c>
      <c r="C478" s="39">
        <v>5213464</v>
      </c>
      <c r="D478" s="40" t="s">
        <v>363</v>
      </c>
      <c r="E478" s="41" t="s">
        <v>7</v>
      </c>
      <c r="F478" s="45">
        <v>13</v>
      </c>
      <c r="G478" s="45">
        <v>243.03</v>
      </c>
      <c r="H478" s="45">
        <v>260.95</v>
      </c>
      <c r="I478" s="45">
        <f>ROUND(H478*(1+$E$168),2)</f>
        <v>315.67</v>
      </c>
      <c r="J478" s="45">
        <f t="shared" si="92"/>
        <v>4103.71</v>
      </c>
      <c r="K478" s="161"/>
      <c r="L478" s="26"/>
      <c r="M478" s="15"/>
      <c r="N478" s="164"/>
      <c r="O478" s="164"/>
      <c r="P478" s="17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</row>
    <row r="479" spans="1:39" s="142" customFormat="1" ht="24" x14ac:dyDescent="0.2">
      <c r="A479" s="38" t="s">
        <v>366</v>
      </c>
      <c r="B479" s="39" t="s">
        <v>23</v>
      </c>
      <c r="C479" s="39">
        <v>5213440</v>
      </c>
      <c r="D479" s="40" t="s">
        <v>364</v>
      </c>
      <c r="E479" s="41" t="s">
        <v>7</v>
      </c>
      <c r="F479" s="45">
        <v>6</v>
      </c>
      <c r="G479" s="45">
        <v>243.03</v>
      </c>
      <c r="H479" s="45">
        <v>211.25</v>
      </c>
      <c r="I479" s="45">
        <f>ROUND(H479*(1+$E$168),2)</f>
        <v>255.55</v>
      </c>
      <c r="J479" s="45">
        <f t="shared" si="92"/>
        <v>1533.3</v>
      </c>
      <c r="K479" s="161"/>
      <c r="L479" s="26"/>
      <c r="M479" s="15"/>
      <c r="N479" s="164"/>
      <c r="O479" s="164"/>
      <c r="P479" s="17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</row>
    <row r="480" spans="1:39" s="8" customFormat="1" ht="12" hidden="1" x14ac:dyDescent="0.2">
      <c r="A480" s="38" t="s">
        <v>268</v>
      </c>
      <c r="B480" s="39"/>
      <c r="C480" s="39" t="s">
        <v>100</v>
      </c>
      <c r="D480" s="44" t="s">
        <v>83</v>
      </c>
      <c r="E480" s="41" t="s">
        <v>7</v>
      </c>
      <c r="F480" s="45"/>
      <c r="G480" s="45">
        <v>117.36</v>
      </c>
      <c r="H480" s="45">
        <v>322.45</v>
      </c>
      <c r="I480" s="45" t="e">
        <f t="shared" ref="I480:I481" si="93">ROUND(H480*(1+$E$166),2)</f>
        <v>#VALUE!</v>
      </c>
      <c r="J480" s="45" t="e">
        <f t="shared" si="92"/>
        <v>#VALUE!</v>
      </c>
      <c r="K480" s="161"/>
      <c r="L480" s="26"/>
      <c r="M480" s="15"/>
      <c r="N480" s="164"/>
      <c r="O480" s="164"/>
      <c r="P480" s="17"/>
    </row>
    <row r="481" spans="1:16" s="8" customFormat="1" ht="12" hidden="1" x14ac:dyDescent="0.2">
      <c r="A481" s="38" t="s">
        <v>269</v>
      </c>
      <c r="B481" s="39"/>
      <c r="C481" s="39" t="s">
        <v>100</v>
      </c>
      <c r="D481" s="40" t="s">
        <v>164</v>
      </c>
      <c r="E481" s="41" t="s">
        <v>6</v>
      </c>
      <c r="F481" s="45"/>
      <c r="G481" s="45">
        <v>243.03</v>
      </c>
      <c r="H481" s="45">
        <v>566</v>
      </c>
      <c r="I481" s="45" t="e">
        <f t="shared" si="93"/>
        <v>#VALUE!</v>
      </c>
      <c r="J481" s="45" t="e">
        <f t="shared" si="92"/>
        <v>#VALUE!</v>
      </c>
      <c r="K481" s="161"/>
      <c r="L481" s="26"/>
      <c r="M481" s="15"/>
      <c r="N481" s="164"/>
      <c r="O481" s="164"/>
      <c r="P481" s="17"/>
    </row>
    <row r="482" spans="1:16" hidden="1" x14ac:dyDescent="0.2">
      <c r="A482" s="38" t="s">
        <v>63</v>
      </c>
      <c r="B482" s="39" t="s">
        <v>24</v>
      </c>
      <c r="C482" s="39">
        <v>91933</v>
      </c>
      <c r="D482" s="40" t="s">
        <v>196</v>
      </c>
      <c r="E482" s="41" t="s">
        <v>9</v>
      </c>
      <c r="F482" s="45">
        <v>0</v>
      </c>
      <c r="G482" s="45">
        <v>11.47</v>
      </c>
      <c r="H482" s="45">
        <v>8.75</v>
      </c>
      <c r="I482" s="45">
        <f t="shared" ref="I482:I490" si="94">ROUND(H482*(1+$E$503),2)</f>
        <v>8.75</v>
      </c>
      <c r="J482" s="45">
        <f t="shared" si="92"/>
        <v>0</v>
      </c>
      <c r="K482" s="168"/>
    </row>
    <row r="483" spans="1:16" hidden="1" x14ac:dyDescent="0.2">
      <c r="A483" s="38" t="s">
        <v>64</v>
      </c>
      <c r="B483" s="39" t="s">
        <v>24</v>
      </c>
      <c r="C483" s="39">
        <v>83492</v>
      </c>
      <c r="D483" s="40" t="s">
        <v>197</v>
      </c>
      <c r="E483" s="41" t="s">
        <v>7</v>
      </c>
      <c r="F483" s="45">
        <v>0</v>
      </c>
      <c r="G483" s="45">
        <v>30.9</v>
      </c>
      <c r="H483" s="45">
        <v>301.5</v>
      </c>
      <c r="I483" s="45">
        <f t="shared" si="94"/>
        <v>301.5</v>
      </c>
      <c r="J483" s="45">
        <f t="shared" si="92"/>
        <v>0</v>
      </c>
      <c r="K483" s="168"/>
    </row>
    <row r="484" spans="1:16" hidden="1" x14ac:dyDescent="0.2">
      <c r="A484" s="38" t="s">
        <v>65</v>
      </c>
      <c r="B484" s="39" t="s">
        <v>24</v>
      </c>
      <c r="C484" s="39">
        <v>95752</v>
      </c>
      <c r="D484" s="40" t="s">
        <v>198</v>
      </c>
      <c r="E484" s="41" t="s">
        <v>7</v>
      </c>
      <c r="F484" s="45">
        <v>0</v>
      </c>
      <c r="G484" s="46"/>
      <c r="H484" s="45">
        <v>243.06</v>
      </c>
      <c r="I484" s="45">
        <f t="shared" si="94"/>
        <v>243.06</v>
      </c>
      <c r="J484" s="45">
        <f t="shared" si="92"/>
        <v>0</v>
      </c>
      <c r="K484" s="168"/>
    </row>
    <row r="485" spans="1:16" hidden="1" x14ac:dyDescent="0.2">
      <c r="A485" s="38" t="s">
        <v>66</v>
      </c>
      <c r="B485" s="39" t="s">
        <v>24</v>
      </c>
      <c r="C485" s="39" t="s">
        <v>210</v>
      </c>
      <c r="D485" s="40" t="s">
        <v>199</v>
      </c>
      <c r="E485" s="41" t="s">
        <v>7</v>
      </c>
      <c r="F485" s="45">
        <v>0</v>
      </c>
      <c r="G485" s="46"/>
      <c r="H485" s="45">
        <v>207.87</v>
      </c>
      <c r="I485" s="45">
        <f t="shared" si="94"/>
        <v>207.87</v>
      </c>
      <c r="J485" s="45">
        <f t="shared" si="92"/>
        <v>0</v>
      </c>
      <c r="K485" s="168"/>
    </row>
    <row r="486" spans="1:16" ht="24" hidden="1" x14ac:dyDescent="0.2">
      <c r="A486" s="38" t="s">
        <v>67</v>
      </c>
      <c r="B486" s="39" t="s">
        <v>24</v>
      </c>
      <c r="C486" s="39">
        <v>83484</v>
      </c>
      <c r="D486" s="40" t="s">
        <v>200</v>
      </c>
      <c r="E486" s="41" t="s">
        <v>7</v>
      </c>
      <c r="F486" s="45">
        <v>0</v>
      </c>
      <c r="G486" s="45">
        <v>91.67</v>
      </c>
      <c r="H486" s="45">
        <v>64.739999999999995</v>
      </c>
      <c r="I486" s="45">
        <f t="shared" si="94"/>
        <v>64.739999999999995</v>
      </c>
      <c r="J486" s="45">
        <f t="shared" si="92"/>
        <v>0</v>
      </c>
      <c r="K486" s="168"/>
    </row>
    <row r="487" spans="1:16" hidden="1" x14ac:dyDescent="0.2">
      <c r="A487" s="38" t="s">
        <v>68</v>
      </c>
      <c r="B487" s="39" t="s">
        <v>24</v>
      </c>
      <c r="C487" s="39" t="s">
        <v>209</v>
      </c>
      <c r="D487" s="40" t="s">
        <v>201</v>
      </c>
      <c r="E487" s="41" t="s">
        <v>7</v>
      </c>
      <c r="F487" s="45">
        <v>0</v>
      </c>
      <c r="G487" s="45">
        <v>0.66</v>
      </c>
      <c r="H487" s="45">
        <v>141.22</v>
      </c>
      <c r="I487" s="45">
        <f t="shared" si="94"/>
        <v>141.22</v>
      </c>
      <c r="J487" s="45">
        <f t="shared" si="92"/>
        <v>0</v>
      </c>
      <c r="K487" s="168"/>
    </row>
    <row r="488" spans="1:16" hidden="1" x14ac:dyDescent="0.2">
      <c r="A488" s="38" t="s">
        <v>69</v>
      </c>
      <c r="B488" s="39" t="s">
        <v>24</v>
      </c>
      <c r="C488" s="39" t="s">
        <v>208</v>
      </c>
      <c r="D488" s="40" t="s">
        <v>202</v>
      </c>
      <c r="E488" s="41" t="s">
        <v>5</v>
      </c>
      <c r="F488" s="45">
        <v>0</v>
      </c>
      <c r="G488" s="45">
        <v>0.4</v>
      </c>
      <c r="H488" s="45">
        <v>3.8</v>
      </c>
      <c r="I488" s="45">
        <f t="shared" si="94"/>
        <v>3.8</v>
      </c>
      <c r="J488" s="45">
        <f t="shared" si="92"/>
        <v>0</v>
      </c>
      <c r="K488" s="168"/>
    </row>
    <row r="489" spans="1:16" hidden="1" x14ac:dyDescent="0.2">
      <c r="A489" s="38" t="s">
        <v>70</v>
      </c>
      <c r="B489" s="39" t="s">
        <v>24</v>
      </c>
      <c r="C489" s="39" t="s">
        <v>207</v>
      </c>
      <c r="D489" s="40" t="s">
        <v>203</v>
      </c>
      <c r="E489" s="41" t="s">
        <v>5</v>
      </c>
      <c r="F489" s="45">
        <v>0</v>
      </c>
      <c r="G489" s="45">
        <v>46.09</v>
      </c>
      <c r="H489" s="45">
        <v>5.32</v>
      </c>
      <c r="I489" s="45">
        <f t="shared" si="94"/>
        <v>5.32</v>
      </c>
      <c r="J489" s="45">
        <f t="shared" si="92"/>
        <v>0</v>
      </c>
      <c r="K489" s="168"/>
    </row>
    <row r="490" spans="1:16" hidden="1" x14ac:dyDescent="0.2">
      <c r="A490" s="38" t="s">
        <v>71</v>
      </c>
      <c r="B490" s="39" t="s">
        <v>24</v>
      </c>
      <c r="C490" s="39">
        <v>94966</v>
      </c>
      <c r="D490" s="40" t="s">
        <v>204</v>
      </c>
      <c r="E490" s="41" t="s">
        <v>5</v>
      </c>
      <c r="F490" s="45">
        <v>0</v>
      </c>
      <c r="G490" s="45">
        <v>55.75</v>
      </c>
      <c r="H490" s="45">
        <v>337.23</v>
      </c>
      <c r="I490" s="45">
        <f t="shared" si="94"/>
        <v>337.23</v>
      </c>
      <c r="J490" s="45">
        <f t="shared" si="92"/>
        <v>0</v>
      </c>
      <c r="K490" s="168"/>
    </row>
    <row r="491" spans="1:16" hidden="1" x14ac:dyDescent="0.2">
      <c r="A491" s="27"/>
      <c r="B491" s="28"/>
      <c r="C491" s="28"/>
      <c r="D491" s="29" t="s">
        <v>172</v>
      </c>
      <c r="E491" s="27"/>
      <c r="F491" s="48"/>
      <c r="G491" s="48"/>
      <c r="H491" s="48"/>
      <c r="I491" s="48"/>
      <c r="J491" s="49">
        <f>SUM(J482:J490)</f>
        <v>0</v>
      </c>
      <c r="K491" s="166"/>
    </row>
    <row r="492" spans="1:16" x14ac:dyDescent="0.2">
      <c r="A492" s="27"/>
      <c r="B492" s="28"/>
      <c r="C492" s="28"/>
      <c r="D492" s="29" t="s">
        <v>172</v>
      </c>
      <c r="E492" s="27"/>
      <c r="F492" s="48"/>
      <c r="G492" s="48"/>
      <c r="H492" s="48"/>
      <c r="I492" s="173"/>
      <c r="J492" s="49">
        <f>SUM(J471:J479)</f>
        <v>22387.01</v>
      </c>
      <c r="K492" s="168"/>
    </row>
    <row r="493" spans="1:16" ht="15.75" x14ac:dyDescent="0.25">
      <c r="A493" s="82"/>
      <c r="B493" s="109"/>
      <c r="C493" s="109"/>
      <c r="D493" s="269" t="s">
        <v>173</v>
      </c>
      <c r="E493" s="344">
        <v>0.2097</v>
      </c>
      <c r="F493" s="344"/>
      <c r="G493" s="270"/>
      <c r="H493" s="270"/>
      <c r="I493" s="358">
        <f>J492+J467+J449+J428</f>
        <v>227702.92</v>
      </c>
      <c r="J493" s="345"/>
      <c r="K493" s="166"/>
    </row>
    <row r="494" spans="1:16" ht="15.75" x14ac:dyDescent="0.25">
      <c r="A494" s="82"/>
      <c r="B494" s="109"/>
      <c r="C494" s="109"/>
      <c r="D494" s="269"/>
      <c r="E494" s="271"/>
      <c r="F494" s="271"/>
      <c r="G494" s="270"/>
      <c r="H494" s="270"/>
      <c r="I494" s="272"/>
      <c r="J494" s="272"/>
      <c r="K494" s="166"/>
    </row>
    <row r="495" spans="1:16" ht="15.75" x14ac:dyDescent="0.25">
      <c r="A495" s="82"/>
      <c r="B495" s="109"/>
      <c r="C495" s="109"/>
      <c r="D495" s="269" t="s">
        <v>181</v>
      </c>
      <c r="E495" s="344"/>
      <c r="F495" s="344"/>
      <c r="G495" s="270"/>
      <c r="H495" s="270"/>
      <c r="I495" s="355">
        <f>SUM(I168+J18+I290+I420+I493)</f>
        <v>2806972.8499999996</v>
      </c>
      <c r="J495" s="345"/>
    </row>
    <row r="496" spans="1:16" ht="18" hidden="1" x14ac:dyDescent="0.2">
      <c r="A496" s="348" t="s">
        <v>90</v>
      </c>
      <c r="B496" s="348"/>
      <c r="C496" s="348"/>
      <c r="D496" s="348"/>
      <c r="E496" s="348"/>
      <c r="F496" s="348"/>
      <c r="G496" s="348"/>
      <c r="H496" s="348"/>
      <c r="I496" s="348"/>
      <c r="J496" s="348"/>
    </row>
    <row r="497" spans="1:10" ht="15" hidden="1" x14ac:dyDescent="0.2">
      <c r="A497" s="349" t="s">
        <v>182</v>
      </c>
      <c r="B497" s="349"/>
      <c r="C497" s="349"/>
      <c r="D497" s="349"/>
      <c r="E497" s="349"/>
      <c r="F497" s="349"/>
      <c r="G497" s="349"/>
      <c r="H497" s="349"/>
      <c r="I497" s="349"/>
      <c r="J497" s="349"/>
    </row>
    <row r="498" spans="1:10" ht="18" hidden="1" x14ac:dyDescent="0.2">
      <c r="A498" s="354" t="s">
        <v>168</v>
      </c>
      <c r="B498" s="354"/>
      <c r="C498" s="354"/>
      <c r="D498" s="354"/>
      <c r="E498" s="354"/>
      <c r="F498" s="354"/>
      <c r="G498" s="354"/>
      <c r="H498" s="354"/>
      <c r="I498" s="354"/>
      <c r="J498" s="354"/>
    </row>
    <row r="499" spans="1:10" x14ac:dyDescent="0.2">
      <c r="I499" s="357"/>
      <c r="J499" s="357"/>
    </row>
  </sheetData>
  <mergeCells count="73">
    <mergeCell ref="I499:J499"/>
    <mergeCell ref="E493:F493"/>
    <mergeCell ref="I493:J493"/>
    <mergeCell ref="E420:F420"/>
    <mergeCell ref="I420:J420"/>
    <mergeCell ref="A422:J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F293:F294"/>
    <mergeCell ref="G293:G294"/>
    <mergeCell ref="H293:H294"/>
    <mergeCell ref="I293:I294"/>
    <mergeCell ref="J293:J294"/>
    <mergeCell ref="A293:A294"/>
    <mergeCell ref="B293:B294"/>
    <mergeCell ref="C293:C294"/>
    <mergeCell ref="D293:D294"/>
    <mergeCell ref="E293:E294"/>
    <mergeCell ref="J176:J177"/>
    <mergeCell ref="E290:F290"/>
    <mergeCell ref="I290:J290"/>
    <mergeCell ref="A292:J292"/>
    <mergeCell ref="D176:D177"/>
    <mergeCell ref="E176:E177"/>
    <mergeCell ref="F176:F177"/>
    <mergeCell ref="G176:G177"/>
    <mergeCell ref="H176:H177"/>
    <mergeCell ref="A498:J498"/>
    <mergeCell ref="A497:J497"/>
    <mergeCell ref="A496:J496"/>
    <mergeCell ref="A6:D6"/>
    <mergeCell ref="A170:J170"/>
    <mergeCell ref="A171:J171"/>
    <mergeCell ref="A172:J172"/>
    <mergeCell ref="A173:J173"/>
    <mergeCell ref="E495:F495"/>
    <mergeCell ref="I495:J495"/>
    <mergeCell ref="A55:J55"/>
    <mergeCell ref="A175:J175"/>
    <mergeCell ref="A176:A177"/>
    <mergeCell ref="B176:B177"/>
    <mergeCell ref="C176:C177"/>
    <mergeCell ref="I176:I177"/>
    <mergeCell ref="A1:J1"/>
    <mergeCell ref="A2:J2"/>
    <mergeCell ref="A3:J3"/>
    <mergeCell ref="A4:J4"/>
    <mergeCell ref="A7:J7"/>
    <mergeCell ref="A5:D5"/>
    <mergeCell ref="M171:Q171"/>
    <mergeCell ref="M172:Q172"/>
    <mergeCell ref="M173:Q173"/>
    <mergeCell ref="A8:A9"/>
    <mergeCell ref="B8:B9"/>
    <mergeCell ref="C8:C9"/>
    <mergeCell ref="D8:D9"/>
    <mergeCell ref="E168:F168"/>
    <mergeCell ref="I168:J168"/>
    <mergeCell ref="E8:E9"/>
    <mergeCell ref="F8:F9"/>
    <mergeCell ref="G8:G9"/>
    <mergeCell ref="H8:H9"/>
    <mergeCell ref="I8:I9"/>
    <mergeCell ref="J8:J9"/>
    <mergeCell ref="A169:J169"/>
  </mergeCells>
  <printOptions horizontalCentered="1"/>
  <pageMargins left="0.78740157480314965" right="0.98425196850393704" top="2.3622047244094491" bottom="0.39370078740157483" header="0" footer="0"/>
  <pageSetup paperSize="9" scale="57" fitToHeight="2" orientation="landscape" verticalDpi="4294967293" r:id="rId1"/>
  <headerFooter alignWithMargins="0"/>
  <rowBreaks count="10" manualBreakCount="10">
    <brk id="92" max="9" man="1"/>
    <brk id="133" max="9" man="1"/>
    <brk id="168" max="9" man="1"/>
    <brk id="222" max="9" man="1"/>
    <brk id="259" max="9" man="1"/>
    <brk id="298" max="9" man="1"/>
    <brk id="357" max="9" man="1"/>
    <brk id="390" max="9" man="1"/>
    <brk id="420" max="9" man="1"/>
    <brk id="4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view="pageBreakPreview" zoomScale="55" zoomScaleNormal="100" zoomScaleSheetLayoutView="55" workbookViewId="0">
      <selection activeCell="K121" sqref="K121"/>
    </sheetView>
  </sheetViews>
  <sheetFormatPr defaultRowHeight="12.75" x14ac:dyDescent="0.2"/>
  <cols>
    <col min="1" max="1" width="11.7109375" customWidth="1"/>
    <col min="2" max="2" width="10.7109375" customWidth="1"/>
    <col min="3" max="3" width="47.5703125" customWidth="1"/>
    <col min="4" max="4" width="7" customWidth="1"/>
    <col min="5" max="5" width="9.28515625" customWidth="1"/>
    <col min="6" max="6" width="12.140625" bestFit="1" customWidth="1"/>
    <col min="7" max="7" width="15.42578125" customWidth="1"/>
    <col min="9" max="9" width="34.7109375" bestFit="1" customWidth="1"/>
    <col min="11" max="11" width="46.42578125" bestFit="1" customWidth="1"/>
  </cols>
  <sheetData>
    <row r="1" spans="1:8" ht="21.75" thickBot="1" x14ac:dyDescent="0.4">
      <c r="A1" s="378" t="s">
        <v>319</v>
      </c>
      <c r="B1" s="379"/>
      <c r="C1" s="379"/>
      <c r="D1" s="379"/>
      <c r="E1" s="379"/>
      <c r="F1" s="379"/>
      <c r="G1" s="380"/>
      <c r="H1" s="181"/>
    </row>
    <row r="2" spans="1:8" s="221" customFormat="1" ht="31.5" x14ac:dyDescent="0.25">
      <c r="A2" s="237"/>
      <c r="B2" s="408" t="s">
        <v>413</v>
      </c>
      <c r="C2" s="409"/>
      <c r="D2" s="409"/>
      <c r="E2" s="409"/>
      <c r="F2" s="410"/>
      <c r="G2" s="238" t="s">
        <v>408</v>
      </c>
    </row>
    <row r="3" spans="1:8" ht="31.5" customHeight="1" x14ac:dyDescent="0.25">
      <c r="A3" s="239" t="s">
        <v>321</v>
      </c>
      <c r="B3" s="240" t="s">
        <v>93</v>
      </c>
      <c r="C3" s="241" t="s">
        <v>322</v>
      </c>
      <c r="D3" s="240" t="s">
        <v>323</v>
      </c>
      <c r="E3" s="240" t="s">
        <v>96</v>
      </c>
      <c r="F3" s="242" t="s">
        <v>324</v>
      </c>
      <c r="G3" s="243" t="s">
        <v>325</v>
      </c>
      <c r="H3" s="181"/>
    </row>
    <row r="4" spans="1:8" ht="31.5" customHeight="1" x14ac:dyDescent="0.25">
      <c r="A4" s="247"/>
      <c r="B4" s="248"/>
      <c r="C4" s="246" t="s">
        <v>422</v>
      </c>
      <c r="D4" s="248"/>
      <c r="E4" s="248"/>
      <c r="F4" s="249"/>
      <c r="G4" s="250"/>
      <c r="H4" s="181"/>
    </row>
    <row r="5" spans="1:8" s="224" customFormat="1" ht="30" x14ac:dyDescent="0.25">
      <c r="A5" s="251" t="s">
        <v>409</v>
      </c>
      <c r="B5" s="252">
        <v>90777</v>
      </c>
      <c r="C5" s="244" t="s">
        <v>414</v>
      </c>
      <c r="D5" s="252" t="s">
        <v>412</v>
      </c>
      <c r="E5" s="253">
        <f>4*4</f>
        <v>16</v>
      </c>
      <c r="F5" s="254">
        <v>83.37</v>
      </c>
      <c r="G5" s="255">
        <f>F5*E5</f>
        <v>1333.92</v>
      </c>
      <c r="H5" s="223"/>
    </row>
    <row r="6" spans="1:8" s="224" customFormat="1" ht="15" x14ac:dyDescent="0.25">
      <c r="A6" s="251" t="s">
        <v>409</v>
      </c>
      <c r="B6" s="252">
        <v>90776</v>
      </c>
      <c r="C6" s="244" t="s">
        <v>415</v>
      </c>
      <c r="D6" s="252" t="s">
        <v>412</v>
      </c>
      <c r="E6" s="253">
        <f>(22*8)/2</f>
        <v>88</v>
      </c>
      <c r="F6" s="254">
        <v>38.86</v>
      </c>
      <c r="G6" s="255">
        <f>F6*E6</f>
        <v>3419.68</v>
      </c>
      <c r="H6" s="223"/>
    </row>
    <row r="7" spans="1:8" s="224" customFormat="1" ht="30" x14ac:dyDescent="0.25">
      <c r="A7" s="251" t="s">
        <v>409</v>
      </c>
      <c r="B7" s="252">
        <v>90767</v>
      </c>
      <c r="C7" s="244" t="s">
        <v>416</v>
      </c>
      <c r="D7" s="252" t="s">
        <v>412</v>
      </c>
      <c r="E7" s="253">
        <f>(22*8)/2</f>
        <v>88</v>
      </c>
      <c r="F7" s="254">
        <v>19.77</v>
      </c>
      <c r="G7" s="255">
        <f t="shared" ref="G7:G16" si="0">F7*E7</f>
        <v>1739.76</v>
      </c>
      <c r="H7" s="223"/>
    </row>
    <row r="8" spans="1:8" s="224" customFormat="1" ht="15" x14ac:dyDescent="0.25">
      <c r="A8" s="251"/>
      <c r="B8" s="252"/>
      <c r="C8" s="244" t="s">
        <v>423</v>
      </c>
      <c r="D8" s="252"/>
      <c r="E8" s="253"/>
      <c r="F8" s="254"/>
      <c r="G8" s="255"/>
      <c r="H8" s="223"/>
    </row>
    <row r="9" spans="1:8" s="224" customFormat="1" ht="15" x14ac:dyDescent="0.25">
      <c r="A9" s="251" t="s">
        <v>23</v>
      </c>
      <c r="B9" s="252" t="s">
        <v>521</v>
      </c>
      <c r="C9" s="244" t="s">
        <v>417</v>
      </c>
      <c r="D9" s="252" t="s">
        <v>412</v>
      </c>
      <c r="E9" s="253">
        <f>2*E5</f>
        <v>32</v>
      </c>
      <c r="F9" s="254">
        <v>40.890700000000002</v>
      </c>
      <c r="G9" s="255">
        <f t="shared" si="0"/>
        <v>1308.5024000000001</v>
      </c>
      <c r="H9" s="223"/>
    </row>
    <row r="10" spans="1:8" s="224" customFormat="1" ht="15" x14ac:dyDescent="0.25">
      <c r="A10" s="251"/>
      <c r="B10" s="252"/>
      <c r="C10" s="245" t="s">
        <v>424</v>
      </c>
      <c r="D10" s="252"/>
      <c r="E10" s="253"/>
      <c r="F10" s="254"/>
      <c r="G10" s="255"/>
      <c r="H10" s="223"/>
    </row>
    <row r="11" spans="1:8" s="224" customFormat="1" ht="15" customHeight="1" x14ac:dyDescent="0.25">
      <c r="A11" s="251" t="s">
        <v>409</v>
      </c>
      <c r="B11" s="252">
        <v>90781</v>
      </c>
      <c r="C11" s="244" t="s">
        <v>418</v>
      </c>
      <c r="D11" s="252" t="s">
        <v>412</v>
      </c>
      <c r="E11" s="253">
        <f>8*4</f>
        <v>32</v>
      </c>
      <c r="F11" s="254">
        <v>19.989999999999998</v>
      </c>
      <c r="G11" s="255">
        <f>F11*E11</f>
        <v>639.67999999999995</v>
      </c>
      <c r="H11" s="223"/>
    </row>
    <row r="12" spans="1:8" s="224" customFormat="1" ht="15" x14ac:dyDescent="0.25">
      <c r="A12" s="251" t="s">
        <v>409</v>
      </c>
      <c r="B12" s="252">
        <v>88253</v>
      </c>
      <c r="C12" s="246" t="s">
        <v>419</v>
      </c>
      <c r="D12" s="252" t="s">
        <v>412</v>
      </c>
      <c r="E12" s="253">
        <f>8*4</f>
        <v>32</v>
      </c>
      <c r="F12" s="254">
        <v>16.78</v>
      </c>
      <c r="G12" s="255">
        <f>F12*E12</f>
        <v>536.96</v>
      </c>
      <c r="H12" s="223"/>
    </row>
    <row r="13" spans="1:8" s="224" customFormat="1" ht="15" x14ac:dyDescent="0.25">
      <c r="A13" s="251"/>
      <c r="B13" s="252"/>
      <c r="C13" s="246" t="s">
        <v>425</v>
      </c>
      <c r="D13" s="252"/>
      <c r="E13" s="253"/>
      <c r="F13" s="254"/>
      <c r="G13" s="255"/>
      <c r="H13" s="223"/>
    </row>
    <row r="14" spans="1:8" s="224" customFormat="1" ht="15" x14ac:dyDescent="0.25">
      <c r="A14" s="251" t="s">
        <v>409</v>
      </c>
      <c r="B14" s="252">
        <v>88321</v>
      </c>
      <c r="C14" s="246" t="s">
        <v>420</v>
      </c>
      <c r="D14" s="252" t="s">
        <v>412</v>
      </c>
      <c r="E14" s="253">
        <v>4</v>
      </c>
      <c r="F14" s="254">
        <v>33.75</v>
      </c>
      <c r="G14" s="255">
        <f t="shared" si="0"/>
        <v>135</v>
      </c>
      <c r="H14" s="223"/>
    </row>
    <row r="15" spans="1:8" s="224" customFormat="1" ht="15" x14ac:dyDescent="0.25">
      <c r="A15" s="251" t="s">
        <v>409</v>
      </c>
      <c r="B15" s="252">
        <v>88249</v>
      </c>
      <c r="C15" s="246" t="s">
        <v>421</v>
      </c>
      <c r="D15" s="252" t="s">
        <v>412</v>
      </c>
      <c r="E15" s="253">
        <v>4</v>
      </c>
      <c r="F15" s="254">
        <v>14.46</v>
      </c>
      <c r="G15" s="255">
        <f t="shared" si="0"/>
        <v>57.84</v>
      </c>
    </row>
    <row r="16" spans="1:8" s="222" customFormat="1" ht="15" x14ac:dyDescent="0.25">
      <c r="A16" s="251" t="s">
        <v>409</v>
      </c>
      <c r="B16" s="252" t="s">
        <v>459</v>
      </c>
      <c r="C16" s="246" t="s">
        <v>458</v>
      </c>
      <c r="D16" s="252" t="s">
        <v>395</v>
      </c>
      <c r="E16" s="253">
        <v>0.02</v>
      </c>
      <c r="F16" s="254">
        <v>3725.79</v>
      </c>
      <c r="G16" s="255">
        <f t="shared" si="0"/>
        <v>74.515799999999999</v>
      </c>
    </row>
    <row r="17" spans="1:8" ht="18" customHeight="1" x14ac:dyDescent="0.25">
      <c r="A17" s="411" t="s">
        <v>410</v>
      </c>
      <c r="B17" s="412"/>
      <c r="C17" s="413"/>
      <c r="D17" s="413"/>
      <c r="E17" s="398">
        <f>SUM(G5:G16)</f>
        <v>9245.8582000000006</v>
      </c>
      <c r="F17" s="399"/>
      <c r="G17" s="400"/>
      <c r="H17" s="181"/>
    </row>
    <row r="18" spans="1:8" ht="15" x14ac:dyDescent="0.25">
      <c r="A18" s="256" t="s">
        <v>334</v>
      </c>
      <c r="B18" s="257"/>
      <c r="C18" s="371" t="s">
        <v>446</v>
      </c>
      <c r="D18" s="372"/>
      <c r="E18" s="372"/>
      <c r="F18" s="372"/>
      <c r="G18" s="373"/>
      <c r="H18" s="181"/>
    </row>
    <row r="19" spans="1:8" ht="41.25" customHeight="1" thickBot="1" x14ac:dyDescent="0.3">
      <c r="A19" s="309" t="s">
        <v>360</v>
      </c>
      <c r="B19" s="310"/>
      <c r="C19" s="404" t="s">
        <v>460</v>
      </c>
      <c r="D19" s="405"/>
      <c r="E19" s="405"/>
      <c r="F19" s="405"/>
      <c r="G19" s="406"/>
      <c r="H19" s="181"/>
    </row>
    <row r="20" spans="1:8" ht="30.75" customHeight="1" thickBot="1" x14ac:dyDescent="0.3">
      <c r="A20" s="304"/>
      <c r="B20" s="305"/>
      <c r="C20" s="306"/>
      <c r="D20" s="307"/>
      <c r="E20" s="307"/>
      <c r="F20" s="307"/>
      <c r="G20" s="308"/>
      <c r="H20" s="181"/>
    </row>
    <row r="21" spans="1:8" ht="15.75" thickBot="1" x14ac:dyDescent="0.3">
      <c r="A21" s="285"/>
      <c r="B21" s="286"/>
      <c r="C21" s="287"/>
      <c r="D21" s="288"/>
      <c r="E21" s="288"/>
      <c r="F21" s="289"/>
      <c r="G21" s="290"/>
      <c r="H21" s="181"/>
    </row>
    <row r="22" spans="1:8" ht="15.75" customHeight="1" x14ac:dyDescent="0.25">
      <c r="A22" s="291"/>
      <c r="B22" s="401" t="s">
        <v>472</v>
      </c>
      <c r="C22" s="402"/>
      <c r="D22" s="402"/>
      <c r="E22" s="402"/>
      <c r="F22" s="403"/>
      <c r="G22" s="292" t="s">
        <v>408</v>
      </c>
      <c r="H22" s="181"/>
    </row>
    <row r="23" spans="1:8" ht="15" x14ac:dyDescent="0.25">
      <c r="A23" s="293" t="s">
        <v>321</v>
      </c>
      <c r="B23" s="294" t="s">
        <v>93</v>
      </c>
      <c r="C23" s="295" t="s">
        <v>322</v>
      </c>
      <c r="D23" s="294" t="s">
        <v>323</v>
      </c>
      <c r="E23" s="294" t="s">
        <v>96</v>
      </c>
      <c r="F23" s="296" t="s">
        <v>411</v>
      </c>
      <c r="G23" s="297" t="s">
        <v>325</v>
      </c>
    </row>
    <row r="24" spans="1:8" s="224" customFormat="1" ht="30" customHeight="1" x14ac:dyDescent="0.25">
      <c r="A24" s="298" t="s">
        <v>409</v>
      </c>
      <c r="B24" s="299" t="s">
        <v>205</v>
      </c>
      <c r="C24" s="300" t="s">
        <v>426</v>
      </c>
      <c r="D24" s="299" t="s">
        <v>377</v>
      </c>
      <c r="E24" s="301">
        <f>2*1.25</f>
        <v>2.5</v>
      </c>
      <c r="F24" s="302">
        <v>302.64</v>
      </c>
      <c r="G24" s="303">
        <f>F24*E24</f>
        <v>756.59999999999991</v>
      </c>
    </row>
    <row r="25" spans="1:8" ht="15" x14ac:dyDescent="0.25">
      <c r="A25" s="386" t="s">
        <v>333</v>
      </c>
      <c r="B25" s="387"/>
      <c r="C25" s="388"/>
      <c r="D25" s="388"/>
      <c r="E25" s="389">
        <f>SUM(G24:G24)</f>
        <v>756.59999999999991</v>
      </c>
      <c r="F25" s="390"/>
      <c r="G25" s="391"/>
      <c r="H25" s="181"/>
    </row>
    <row r="26" spans="1:8" ht="15" x14ac:dyDescent="0.25">
      <c r="A26" s="146" t="s">
        <v>334</v>
      </c>
      <c r="B26" s="147"/>
      <c r="C26" s="392" t="s">
        <v>477</v>
      </c>
      <c r="D26" s="393"/>
      <c r="E26" s="393"/>
      <c r="F26" s="393"/>
      <c r="G26" s="394"/>
    </row>
    <row r="27" spans="1:8" ht="15.75" thickBot="1" x14ac:dyDescent="0.3">
      <c r="A27" s="321"/>
      <c r="B27" s="322"/>
      <c r="C27" s="323"/>
      <c r="D27" s="324"/>
      <c r="E27" s="324"/>
      <c r="F27" s="325"/>
      <c r="G27" s="326"/>
    </row>
    <row r="28" spans="1:8" ht="15.75" thickBot="1" x14ac:dyDescent="0.3">
      <c r="A28" s="285"/>
      <c r="B28" s="286"/>
      <c r="C28" s="287"/>
      <c r="D28" s="288"/>
      <c r="E28" s="288"/>
      <c r="F28" s="289"/>
      <c r="G28" s="290"/>
      <c r="H28" s="181"/>
    </row>
    <row r="29" spans="1:8" ht="15.75" customHeight="1" x14ac:dyDescent="0.25">
      <c r="A29" s="327"/>
      <c r="B29" s="401" t="s">
        <v>514</v>
      </c>
      <c r="C29" s="402"/>
      <c r="D29" s="402"/>
      <c r="E29" s="402"/>
      <c r="F29" s="403"/>
      <c r="G29" s="328" t="s">
        <v>408</v>
      </c>
      <c r="H29" s="181"/>
    </row>
    <row r="30" spans="1:8" ht="15" x14ac:dyDescent="0.25">
      <c r="A30" s="293" t="s">
        <v>321</v>
      </c>
      <c r="B30" s="294" t="s">
        <v>93</v>
      </c>
      <c r="C30" s="295" t="s">
        <v>322</v>
      </c>
      <c r="D30" s="294" t="s">
        <v>323</v>
      </c>
      <c r="E30" s="294" t="s">
        <v>96</v>
      </c>
      <c r="F30" s="331" t="s">
        <v>516</v>
      </c>
      <c r="G30" s="297" t="s">
        <v>325</v>
      </c>
    </row>
    <row r="31" spans="1:8" s="224" customFormat="1" ht="30" customHeight="1" x14ac:dyDescent="0.25">
      <c r="B31" s="298" t="s">
        <v>501</v>
      </c>
      <c r="C31" s="300" t="s">
        <v>514</v>
      </c>
      <c r="D31" s="332" t="s">
        <v>517</v>
      </c>
      <c r="E31" s="301">
        <v>2</v>
      </c>
      <c r="F31" s="302">
        <v>975</v>
      </c>
      <c r="G31" s="303">
        <f>F31*E31</f>
        <v>1950</v>
      </c>
    </row>
    <row r="32" spans="1:8" ht="15" x14ac:dyDescent="0.25">
      <c r="A32" s="386" t="s">
        <v>333</v>
      </c>
      <c r="B32" s="387"/>
      <c r="C32" s="388"/>
      <c r="D32" s="388"/>
      <c r="E32" s="389">
        <f>SUM(G31:G31)</f>
        <v>1950</v>
      </c>
      <c r="F32" s="390"/>
      <c r="G32" s="391"/>
      <c r="H32" s="181"/>
    </row>
    <row r="33" spans="1:8" ht="15.75" thickBot="1" x14ac:dyDescent="0.3">
      <c r="A33" s="329" t="s">
        <v>334</v>
      </c>
      <c r="B33" s="330"/>
      <c r="C33" s="438" t="s">
        <v>477</v>
      </c>
      <c r="D33" s="439"/>
      <c r="E33" s="439"/>
      <c r="F33" s="439"/>
      <c r="G33" s="440"/>
    </row>
    <row r="34" spans="1:8" ht="59.25" customHeight="1" thickBot="1" x14ac:dyDescent="0.3">
      <c r="A34" s="329" t="s">
        <v>443</v>
      </c>
      <c r="B34" s="330"/>
      <c r="C34" s="435" t="s">
        <v>515</v>
      </c>
      <c r="D34" s="436"/>
      <c r="E34" s="436"/>
      <c r="F34" s="436"/>
      <c r="G34" s="437"/>
    </row>
    <row r="35" spans="1:8" ht="15.75" thickBot="1" x14ac:dyDescent="0.3">
      <c r="A35" s="148"/>
      <c r="B35" s="395"/>
      <c r="C35" s="396"/>
      <c r="D35" s="396"/>
      <c r="E35" s="396"/>
      <c r="F35" s="396"/>
      <c r="G35" s="397"/>
      <c r="H35" s="181"/>
    </row>
    <row r="36" spans="1:8" ht="31.5" customHeight="1" x14ac:dyDescent="0.25">
      <c r="A36" s="185"/>
      <c r="B36" s="362" t="s">
        <v>236</v>
      </c>
      <c r="C36" s="363"/>
      <c r="D36" s="363"/>
      <c r="E36" s="363"/>
      <c r="F36" s="364"/>
      <c r="G36" s="186" t="s">
        <v>453</v>
      </c>
      <c r="H36" s="181"/>
    </row>
    <row r="37" spans="1:8" ht="15" x14ac:dyDescent="0.25">
      <c r="A37" s="187" t="s">
        <v>321</v>
      </c>
      <c r="B37" s="188" t="s">
        <v>93</v>
      </c>
      <c r="C37" s="189" t="s">
        <v>322</v>
      </c>
      <c r="D37" s="188" t="s">
        <v>323</v>
      </c>
      <c r="E37" s="188" t="s">
        <v>96</v>
      </c>
      <c r="F37" s="188" t="s">
        <v>324</v>
      </c>
      <c r="G37" s="190" t="s">
        <v>325</v>
      </c>
      <c r="H37" s="181"/>
    </row>
    <row r="38" spans="1:8" ht="14.25" customHeight="1" x14ac:dyDescent="0.25">
      <c r="A38" s="191" t="s">
        <v>326</v>
      </c>
      <c r="B38" s="176">
        <v>94971</v>
      </c>
      <c r="C38" s="192" t="s">
        <v>454</v>
      </c>
      <c r="D38" s="175" t="s">
        <v>5</v>
      </c>
      <c r="E38" s="193">
        <v>0.17</v>
      </c>
      <c r="F38" s="192">
        <v>310.33</v>
      </c>
      <c r="G38" s="194">
        <f t="shared" ref="G38:G43" si="1">F38*E38</f>
        <v>52.756100000000004</v>
      </c>
      <c r="H38" s="181"/>
    </row>
    <row r="39" spans="1:8" ht="15" x14ac:dyDescent="0.25">
      <c r="A39" s="191" t="s">
        <v>326</v>
      </c>
      <c r="B39" s="176" t="s">
        <v>87</v>
      </c>
      <c r="C39" s="192" t="s">
        <v>332</v>
      </c>
      <c r="D39" s="175" t="s">
        <v>5</v>
      </c>
      <c r="E39" s="193">
        <v>0.17</v>
      </c>
      <c r="F39" s="192">
        <v>109.19</v>
      </c>
      <c r="G39" s="194">
        <f t="shared" si="1"/>
        <v>18.5623</v>
      </c>
      <c r="H39" s="181"/>
    </row>
    <row r="40" spans="1:8" ht="29.25" customHeight="1" x14ac:dyDescent="0.2">
      <c r="A40" s="195" t="s">
        <v>326</v>
      </c>
      <c r="B40" s="177">
        <v>96539</v>
      </c>
      <c r="C40" s="196" t="s">
        <v>455</v>
      </c>
      <c r="D40" s="175" t="s">
        <v>6</v>
      </c>
      <c r="E40" s="193">
        <v>1.27</v>
      </c>
      <c r="F40" s="192">
        <v>79.87</v>
      </c>
      <c r="G40" s="194">
        <f t="shared" si="1"/>
        <v>101.43490000000001</v>
      </c>
      <c r="H40" s="181"/>
    </row>
    <row r="41" spans="1:8" ht="15" x14ac:dyDescent="0.25">
      <c r="A41" s="191" t="s">
        <v>326</v>
      </c>
      <c r="B41" s="176">
        <v>92762</v>
      </c>
      <c r="C41" s="192" t="s">
        <v>456</v>
      </c>
      <c r="D41" s="175" t="s">
        <v>4</v>
      </c>
      <c r="E41" s="193">
        <f>ROUND((7*0.617),2)</f>
        <v>4.32</v>
      </c>
      <c r="F41" s="192">
        <v>6.49</v>
      </c>
      <c r="G41" s="194">
        <f t="shared" si="1"/>
        <v>28.036800000000003</v>
      </c>
      <c r="H41" s="181"/>
    </row>
    <row r="42" spans="1:8" ht="15" x14ac:dyDescent="0.25">
      <c r="A42" s="191" t="s">
        <v>326</v>
      </c>
      <c r="B42" s="176">
        <v>92759</v>
      </c>
      <c r="C42" s="192" t="s">
        <v>456</v>
      </c>
      <c r="D42" s="175" t="s">
        <v>4</v>
      </c>
      <c r="E42" s="193">
        <f>ROUND((1.66*6*0.154),2)</f>
        <v>1.53</v>
      </c>
      <c r="F42" s="192">
        <v>9.66</v>
      </c>
      <c r="G42" s="194">
        <f t="shared" si="1"/>
        <v>14.7798</v>
      </c>
      <c r="H42" s="181"/>
    </row>
    <row r="43" spans="1:8" ht="15" x14ac:dyDescent="0.25">
      <c r="A43" s="191" t="s">
        <v>326</v>
      </c>
      <c r="B43" s="176">
        <v>88489</v>
      </c>
      <c r="C43" s="192" t="s">
        <v>457</v>
      </c>
      <c r="D43" s="175" t="s">
        <v>6</v>
      </c>
      <c r="E43" s="193">
        <v>0.67</v>
      </c>
      <c r="F43" s="193">
        <v>11.08</v>
      </c>
      <c r="G43" s="194">
        <f t="shared" si="1"/>
        <v>7.4236000000000004</v>
      </c>
      <c r="H43" s="181"/>
    </row>
    <row r="44" spans="1:8" ht="15" x14ac:dyDescent="0.25">
      <c r="A44" s="365" t="s">
        <v>333</v>
      </c>
      <c r="B44" s="366"/>
      <c r="C44" s="367"/>
      <c r="D44" s="367"/>
      <c r="E44" s="368">
        <f>SUM(G38:G43)</f>
        <v>222.99350000000001</v>
      </c>
      <c r="F44" s="369"/>
      <c r="G44" s="370"/>
      <c r="H44" s="181"/>
    </row>
    <row r="45" spans="1:8" ht="15" x14ac:dyDescent="0.25">
      <c r="A45" s="197" t="s">
        <v>334</v>
      </c>
      <c r="B45" s="198"/>
      <c r="C45" s="371" t="s">
        <v>391</v>
      </c>
      <c r="D45" s="372"/>
      <c r="E45" s="372"/>
      <c r="F45" s="372"/>
      <c r="G45" s="373"/>
      <c r="H45" s="181"/>
    </row>
    <row r="46" spans="1:8" ht="15.75" thickBot="1" x14ac:dyDescent="0.3">
      <c r="A46" s="199" t="s">
        <v>360</v>
      </c>
      <c r="B46" s="374" t="s">
        <v>396</v>
      </c>
      <c r="C46" s="375"/>
      <c r="D46" s="375"/>
      <c r="E46" s="375"/>
      <c r="F46" s="375"/>
      <c r="G46" s="376"/>
    </row>
    <row r="47" spans="1:8" ht="15" customHeight="1" thickBot="1" x14ac:dyDescent="0.3">
      <c r="A47" s="203"/>
      <c r="B47" s="204"/>
      <c r="C47" s="205"/>
      <c r="D47" s="205"/>
      <c r="E47" s="205"/>
      <c r="F47" s="205"/>
      <c r="G47" s="206"/>
      <c r="H47" s="181"/>
    </row>
    <row r="48" spans="1:8" ht="31.5" hidden="1" x14ac:dyDescent="0.25">
      <c r="A48" s="185"/>
      <c r="B48" s="362" t="s">
        <v>390</v>
      </c>
      <c r="C48" s="363"/>
      <c r="D48" s="363"/>
      <c r="E48" s="363"/>
      <c r="F48" s="364"/>
      <c r="G48" s="186" t="s">
        <v>388</v>
      </c>
      <c r="H48" s="181"/>
    </row>
    <row r="49" spans="1:8" ht="15" hidden="1" x14ac:dyDescent="0.25">
      <c r="A49" s="187" t="s">
        <v>321</v>
      </c>
      <c r="B49" s="188" t="s">
        <v>93</v>
      </c>
      <c r="C49" s="189" t="s">
        <v>322</v>
      </c>
      <c r="D49" s="188" t="s">
        <v>323</v>
      </c>
      <c r="E49" s="188" t="s">
        <v>96</v>
      </c>
      <c r="F49" s="188" t="s">
        <v>324</v>
      </c>
      <c r="G49" s="190" t="s">
        <v>325</v>
      </c>
      <c r="H49" s="181"/>
    </row>
    <row r="50" spans="1:8" ht="27" hidden="1" customHeight="1" x14ac:dyDescent="0.2">
      <c r="A50" s="201" t="s">
        <v>23</v>
      </c>
      <c r="B50" s="182">
        <v>5213464</v>
      </c>
      <c r="C50" s="202" t="s">
        <v>389</v>
      </c>
      <c r="D50" s="207" t="s">
        <v>7</v>
      </c>
      <c r="E50" s="208">
        <v>1</v>
      </c>
      <c r="F50" s="209">
        <v>173.09</v>
      </c>
      <c r="G50" s="210">
        <f>F50*E50</f>
        <v>173.09</v>
      </c>
      <c r="H50" s="181"/>
    </row>
    <row r="51" spans="1:8" ht="15" hidden="1" x14ac:dyDescent="0.25">
      <c r="A51" s="191" t="s">
        <v>326</v>
      </c>
      <c r="B51" s="176">
        <v>94962</v>
      </c>
      <c r="C51" s="192" t="s">
        <v>330</v>
      </c>
      <c r="D51" s="175" t="s">
        <v>5</v>
      </c>
      <c r="E51" s="193">
        <v>0.02</v>
      </c>
      <c r="F51" s="192">
        <v>253.4</v>
      </c>
      <c r="G51" s="194">
        <f>F51*E51</f>
        <v>5.0680000000000005</v>
      </c>
    </row>
    <row r="52" spans="1:8" ht="15" hidden="1" x14ac:dyDescent="0.25">
      <c r="A52" s="191" t="s">
        <v>326</v>
      </c>
      <c r="B52" s="176">
        <v>94965</v>
      </c>
      <c r="C52" s="192" t="s">
        <v>331</v>
      </c>
      <c r="D52" s="175" t="s">
        <v>5</v>
      </c>
      <c r="E52" s="193">
        <v>0.35</v>
      </c>
      <c r="F52" s="192">
        <v>316.5</v>
      </c>
      <c r="G52" s="194">
        <f t="shared" ref="G52:G53" si="2">F52*E52</f>
        <v>110.77499999999999</v>
      </c>
    </row>
    <row r="53" spans="1:8" ht="15" hidden="1" x14ac:dyDescent="0.25">
      <c r="A53" s="191" t="s">
        <v>326</v>
      </c>
      <c r="B53" s="211" t="s">
        <v>87</v>
      </c>
      <c r="C53" s="192" t="s">
        <v>332</v>
      </c>
      <c r="D53" s="175" t="s">
        <v>5</v>
      </c>
      <c r="E53" s="212">
        <v>0.35</v>
      </c>
      <c r="F53" s="192">
        <v>109.18</v>
      </c>
      <c r="G53" s="194">
        <f t="shared" si="2"/>
        <v>38.213000000000001</v>
      </c>
      <c r="H53" s="181"/>
    </row>
    <row r="54" spans="1:8" ht="13.5" hidden="1" customHeight="1" x14ac:dyDescent="0.25">
      <c r="A54" s="381" t="s">
        <v>333</v>
      </c>
      <c r="B54" s="382"/>
      <c r="C54" s="382"/>
      <c r="D54" s="383"/>
      <c r="E54" s="368">
        <f>SUM(G50:G53)</f>
        <v>327.14600000000002</v>
      </c>
      <c r="F54" s="369"/>
      <c r="G54" s="370"/>
      <c r="H54" s="181"/>
    </row>
    <row r="55" spans="1:8" ht="15.75" hidden="1" thickBot="1" x14ac:dyDescent="0.3">
      <c r="A55" s="213" t="s">
        <v>334</v>
      </c>
      <c r="B55" s="214"/>
      <c r="C55" s="384" t="s">
        <v>355</v>
      </c>
      <c r="D55" s="384"/>
      <c r="E55" s="384"/>
      <c r="F55" s="384"/>
      <c r="G55" s="385"/>
      <c r="H55" s="181"/>
    </row>
    <row r="56" spans="1:8" ht="25.5" hidden="1" customHeight="1" thickBot="1" x14ac:dyDescent="0.3">
      <c r="A56" s="215"/>
      <c r="B56" s="215"/>
      <c r="C56" s="216"/>
      <c r="D56" s="215"/>
      <c r="E56" s="217"/>
      <c r="F56" s="216"/>
      <c r="G56" s="218"/>
      <c r="H56" s="181"/>
    </row>
    <row r="57" spans="1:8" ht="31.5" x14ac:dyDescent="0.25">
      <c r="A57" s="274"/>
      <c r="B57" s="359" t="s">
        <v>442</v>
      </c>
      <c r="C57" s="360"/>
      <c r="D57" s="360"/>
      <c r="E57" s="360"/>
      <c r="F57" s="361"/>
      <c r="G57" s="186" t="s">
        <v>320</v>
      </c>
      <c r="H57" s="181"/>
    </row>
    <row r="58" spans="1:8" ht="15" x14ac:dyDescent="0.25">
      <c r="A58" s="122" t="s">
        <v>321</v>
      </c>
      <c r="B58" s="188" t="s">
        <v>93</v>
      </c>
      <c r="C58" s="189" t="s">
        <v>322</v>
      </c>
      <c r="D58" s="188" t="s">
        <v>323</v>
      </c>
      <c r="E58" s="188" t="s">
        <v>96</v>
      </c>
      <c r="F58" s="188" t="s">
        <v>324</v>
      </c>
      <c r="G58" s="190" t="s">
        <v>325</v>
      </c>
      <c r="H58" s="181"/>
    </row>
    <row r="59" spans="1:8" ht="28.5" customHeight="1" x14ac:dyDescent="0.25">
      <c r="A59" s="122"/>
      <c r="B59" s="188"/>
      <c r="C59" s="189" t="s">
        <v>372</v>
      </c>
      <c r="D59" s="188"/>
      <c r="E59" s="188"/>
      <c r="F59" s="188"/>
      <c r="G59" s="190"/>
      <c r="H59" s="181"/>
    </row>
    <row r="60" spans="1:8" ht="39" x14ac:dyDescent="0.25">
      <c r="A60" s="277" t="s">
        <v>23</v>
      </c>
      <c r="B60" s="175">
        <v>5213464</v>
      </c>
      <c r="C60" s="202" t="s">
        <v>371</v>
      </c>
      <c r="D60" s="211" t="s">
        <v>370</v>
      </c>
      <c r="E60" s="212">
        <v>1</v>
      </c>
      <c r="F60" s="192">
        <v>260.95</v>
      </c>
      <c r="G60" s="194"/>
      <c r="H60" s="181"/>
    </row>
    <row r="61" spans="1:8" ht="15" x14ac:dyDescent="0.25">
      <c r="A61" s="113"/>
      <c r="B61" s="176"/>
      <c r="C61" s="225" t="s">
        <v>373</v>
      </c>
      <c r="D61" s="175"/>
      <c r="E61" s="193"/>
      <c r="F61" s="192"/>
      <c r="G61" s="194"/>
      <c r="H61" s="181"/>
    </row>
    <row r="62" spans="1:8" ht="14.25" customHeight="1" x14ac:dyDescent="0.25">
      <c r="A62" s="120"/>
      <c r="B62" s="226"/>
      <c r="C62" s="230" t="s">
        <v>451</v>
      </c>
      <c r="D62" s="228"/>
      <c r="E62" s="212"/>
      <c r="F62" s="192"/>
      <c r="G62" s="194"/>
      <c r="H62" s="181"/>
    </row>
    <row r="63" spans="1:8" ht="15" x14ac:dyDescent="0.25">
      <c r="A63" s="113"/>
      <c r="B63" s="227"/>
      <c r="C63" s="229" t="s">
        <v>374</v>
      </c>
      <c r="D63" s="228"/>
      <c r="E63" s="193"/>
      <c r="F63" s="192"/>
      <c r="G63" s="194"/>
      <c r="H63" s="181"/>
    </row>
    <row r="64" spans="1:8" ht="15" x14ac:dyDescent="0.25">
      <c r="A64" s="113"/>
      <c r="B64" s="176"/>
      <c r="C64" s="229" t="s">
        <v>452</v>
      </c>
      <c r="D64" s="175"/>
      <c r="E64" s="193"/>
      <c r="F64" s="192"/>
      <c r="G64" s="194">
        <f>(0.75*260.95)/0.36</f>
        <v>543.64583333333326</v>
      </c>
      <c r="H64" s="181"/>
    </row>
    <row r="65" spans="1:8" ht="26.25" x14ac:dyDescent="0.25">
      <c r="A65" s="277" t="s">
        <v>23</v>
      </c>
      <c r="B65" s="182">
        <v>5213863</v>
      </c>
      <c r="C65" s="231" t="s">
        <v>437</v>
      </c>
      <c r="D65" s="211" t="s">
        <v>370</v>
      </c>
      <c r="E65" s="212">
        <v>1</v>
      </c>
      <c r="F65" s="192">
        <v>272.91000000000003</v>
      </c>
      <c r="G65" s="194"/>
      <c r="H65" s="181"/>
    </row>
    <row r="66" spans="1:8" ht="14.25" customHeight="1" x14ac:dyDescent="0.25">
      <c r="A66" s="120"/>
      <c r="B66" s="226"/>
      <c r="C66" s="230" t="s">
        <v>438</v>
      </c>
      <c r="D66" s="228"/>
      <c r="E66" s="212"/>
      <c r="F66" s="192"/>
      <c r="G66" s="194">
        <v>42.28</v>
      </c>
      <c r="H66" s="181"/>
    </row>
    <row r="67" spans="1:8" ht="15" x14ac:dyDescent="0.25">
      <c r="A67" s="113"/>
      <c r="B67" s="227"/>
      <c r="C67" s="225" t="s">
        <v>439</v>
      </c>
      <c r="D67" s="228"/>
      <c r="E67" s="193"/>
      <c r="F67" s="192"/>
      <c r="G67" s="194"/>
      <c r="H67" s="181"/>
    </row>
    <row r="68" spans="1:8" ht="15" x14ac:dyDescent="0.25">
      <c r="A68" s="113"/>
      <c r="B68" s="227"/>
      <c r="C68" s="229" t="s">
        <v>440</v>
      </c>
      <c r="D68" s="228"/>
      <c r="E68" s="193"/>
      <c r="F68" s="192"/>
      <c r="G68" s="194"/>
      <c r="H68" s="181"/>
    </row>
    <row r="69" spans="1:8" ht="15" x14ac:dyDescent="0.25">
      <c r="A69" s="284"/>
      <c r="B69" s="232"/>
      <c r="C69" s="231" t="s">
        <v>441</v>
      </c>
      <c r="D69" s="233"/>
      <c r="E69" s="234"/>
      <c r="F69" s="235"/>
      <c r="G69" s="236">
        <f>(230.6342*2.2)/3.1</f>
        <v>163.67588387096774</v>
      </c>
      <c r="H69" s="181"/>
    </row>
    <row r="70" spans="1:8" ht="27" customHeight="1" x14ac:dyDescent="0.25">
      <c r="A70" s="367" t="s">
        <v>333</v>
      </c>
      <c r="B70" s="367"/>
      <c r="C70" s="367"/>
      <c r="D70" s="367"/>
      <c r="E70" s="407">
        <f>SUM(G59:G69)</f>
        <v>749.60171720430094</v>
      </c>
      <c r="F70" s="407"/>
      <c r="G70" s="407"/>
      <c r="H70" s="181"/>
    </row>
    <row r="71" spans="1:8" ht="13.5" customHeight="1" x14ac:dyDescent="0.25">
      <c r="A71" s="189" t="s">
        <v>334</v>
      </c>
      <c r="B71" s="280" t="s">
        <v>510</v>
      </c>
      <c r="C71" s="281"/>
      <c r="D71" s="281"/>
      <c r="E71" s="281"/>
      <c r="F71" s="281"/>
      <c r="G71" s="282"/>
      <c r="H71" s="181"/>
    </row>
    <row r="72" spans="1:8" ht="65.25" customHeight="1" x14ac:dyDescent="0.2">
      <c r="A72" s="279" t="s">
        <v>443</v>
      </c>
      <c r="B72" s="192"/>
      <c r="C72" s="377" t="s">
        <v>444</v>
      </c>
      <c r="D72" s="377"/>
      <c r="E72" s="377"/>
      <c r="F72" s="377"/>
      <c r="G72" s="377"/>
      <c r="H72" s="181"/>
    </row>
    <row r="73" spans="1:8" ht="13.5" thickBot="1" x14ac:dyDescent="0.25">
      <c r="A73" s="200"/>
      <c r="B73" s="200"/>
      <c r="C73" s="200"/>
      <c r="D73" s="200"/>
      <c r="E73" s="200"/>
      <c r="F73" s="200"/>
      <c r="G73" s="200"/>
    </row>
    <row r="74" spans="1:8" ht="31.5" x14ac:dyDescent="0.25">
      <c r="A74" s="185"/>
      <c r="B74" s="362" t="s">
        <v>392</v>
      </c>
      <c r="C74" s="363"/>
      <c r="D74" s="363"/>
      <c r="E74" s="363"/>
      <c r="F74" s="364"/>
      <c r="G74" s="186" t="s">
        <v>388</v>
      </c>
    </row>
    <row r="75" spans="1:8" s="126" customFormat="1" ht="15" x14ac:dyDescent="0.25">
      <c r="A75" s="122" t="s">
        <v>321</v>
      </c>
      <c r="B75" s="123" t="s">
        <v>93</v>
      </c>
      <c r="C75" s="124" t="s">
        <v>322</v>
      </c>
      <c r="D75" s="123" t="s">
        <v>323</v>
      </c>
      <c r="E75" s="123" t="s">
        <v>96</v>
      </c>
      <c r="F75" s="123" t="s">
        <v>324</v>
      </c>
      <c r="G75" s="125" t="s">
        <v>325</v>
      </c>
    </row>
    <row r="76" spans="1:8" s="126" customFormat="1" ht="14.25" customHeight="1" x14ac:dyDescent="0.2">
      <c r="A76" s="120" t="s">
        <v>326</v>
      </c>
      <c r="B76" s="60">
        <v>94273</v>
      </c>
      <c r="C76" s="311" t="s">
        <v>177</v>
      </c>
      <c r="D76" s="312" t="s">
        <v>9</v>
      </c>
      <c r="E76" s="313">
        <v>1</v>
      </c>
      <c r="F76" s="314">
        <v>33.1</v>
      </c>
      <c r="G76" s="315"/>
    </row>
    <row r="77" spans="1:8" s="126" customFormat="1" ht="15" x14ac:dyDescent="0.25">
      <c r="A77" s="113"/>
      <c r="B77" s="316"/>
      <c r="C77" s="317" t="s">
        <v>511</v>
      </c>
      <c r="D77" s="318"/>
      <c r="E77" s="119"/>
      <c r="F77" s="117"/>
      <c r="G77" s="118"/>
    </row>
    <row r="78" spans="1:8" s="126" customFormat="1" ht="15.75" customHeight="1" x14ac:dyDescent="0.25">
      <c r="A78" s="113"/>
      <c r="B78" s="316"/>
      <c r="C78" s="319" t="s">
        <v>512</v>
      </c>
      <c r="D78" s="318"/>
      <c r="E78" s="119"/>
      <c r="F78" s="117"/>
      <c r="G78" s="118"/>
    </row>
    <row r="79" spans="1:8" s="126" customFormat="1" ht="15" x14ac:dyDescent="0.25">
      <c r="A79" s="113"/>
      <c r="B79" s="320"/>
      <c r="C79" s="319" t="s">
        <v>513</v>
      </c>
      <c r="D79" s="114"/>
      <c r="E79" s="116"/>
      <c r="F79" s="117"/>
      <c r="G79" s="118">
        <f>(0.012*33.1)/0.045</f>
        <v>8.826666666666668</v>
      </c>
    </row>
    <row r="80" spans="1:8" ht="15" x14ac:dyDescent="0.25">
      <c r="A80" s="381" t="s">
        <v>333</v>
      </c>
      <c r="B80" s="382"/>
      <c r="C80" s="382"/>
      <c r="D80" s="383"/>
      <c r="E80" s="368">
        <f>SUM(G76:G79)</f>
        <v>8.826666666666668</v>
      </c>
      <c r="F80" s="369"/>
      <c r="G80" s="370"/>
      <c r="H80" s="181"/>
    </row>
    <row r="81" spans="1:8" ht="30.75" customHeight="1" thickBot="1" x14ac:dyDescent="0.3">
      <c r="A81" s="213" t="s">
        <v>334</v>
      </c>
      <c r="B81" s="214"/>
      <c r="C81" s="427" t="s">
        <v>446</v>
      </c>
      <c r="D81" s="428"/>
      <c r="E81" s="428"/>
      <c r="F81" s="428"/>
      <c r="G81" s="428"/>
      <c r="H81" s="181"/>
    </row>
    <row r="82" spans="1:8" ht="15" x14ac:dyDescent="0.25">
      <c r="A82" s="215"/>
      <c r="B82" s="215"/>
      <c r="C82" s="216"/>
      <c r="D82" s="215"/>
      <c r="E82" s="217"/>
      <c r="F82" s="216"/>
      <c r="G82" s="218"/>
      <c r="H82" s="181"/>
    </row>
    <row r="83" spans="1:8" ht="13.5" thickBot="1" x14ac:dyDescent="0.25">
      <c r="A83" s="200"/>
      <c r="B83" s="200"/>
      <c r="C83" s="200"/>
      <c r="D83" s="200"/>
      <c r="E83" s="200"/>
      <c r="F83" s="200"/>
      <c r="G83" s="200"/>
      <c r="H83" s="181"/>
    </row>
    <row r="84" spans="1:8" s="126" customFormat="1" ht="32.25" customHeight="1" x14ac:dyDescent="0.25">
      <c r="A84" s="274"/>
      <c r="B84" s="414" t="s">
        <v>155</v>
      </c>
      <c r="C84" s="415"/>
      <c r="D84" s="415"/>
      <c r="E84" s="415"/>
      <c r="F84" s="416"/>
      <c r="G84" s="127" t="s">
        <v>336</v>
      </c>
    </row>
    <row r="85" spans="1:8" s="126" customFormat="1" ht="15" x14ac:dyDescent="0.25">
      <c r="A85" s="122" t="s">
        <v>321</v>
      </c>
      <c r="B85" s="123" t="s">
        <v>93</v>
      </c>
      <c r="C85" s="124" t="s">
        <v>322</v>
      </c>
      <c r="D85" s="123" t="s">
        <v>323</v>
      </c>
      <c r="E85" s="123" t="s">
        <v>96</v>
      </c>
      <c r="F85" s="123" t="s">
        <v>324</v>
      </c>
      <c r="G85" s="125" t="s">
        <v>325</v>
      </c>
    </row>
    <row r="86" spans="1:8" s="126" customFormat="1" ht="15" x14ac:dyDescent="0.25">
      <c r="A86" s="113" t="s">
        <v>326</v>
      </c>
      <c r="B86" s="114">
        <v>88260</v>
      </c>
      <c r="C86" s="115" t="s">
        <v>337</v>
      </c>
      <c r="D86" s="114" t="s">
        <v>328</v>
      </c>
      <c r="E86" s="116">
        <v>0.16</v>
      </c>
      <c r="F86" s="117">
        <v>20.260000000000002</v>
      </c>
      <c r="G86" s="118">
        <f>F86*E86</f>
        <v>3.2416000000000005</v>
      </c>
    </row>
    <row r="87" spans="1:8" s="126" customFormat="1" ht="29.25" customHeight="1" x14ac:dyDescent="0.25">
      <c r="A87" s="113" t="s">
        <v>326</v>
      </c>
      <c r="B87" s="275">
        <v>88316</v>
      </c>
      <c r="C87" s="117" t="s">
        <v>329</v>
      </c>
      <c r="D87" s="114" t="s">
        <v>328</v>
      </c>
      <c r="E87" s="119">
        <v>0.32</v>
      </c>
      <c r="F87" s="117">
        <v>16.21</v>
      </c>
      <c r="G87" s="118">
        <f>F87*E87</f>
        <v>5.1872000000000007</v>
      </c>
    </row>
    <row r="88" spans="1:8" s="126" customFormat="1" ht="15" x14ac:dyDescent="0.25">
      <c r="A88" s="113" t="s">
        <v>335</v>
      </c>
      <c r="B88" s="275">
        <v>370</v>
      </c>
      <c r="C88" s="276" t="s">
        <v>461</v>
      </c>
      <c r="D88" s="114" t="s">
        <v>5</v>
      </c>
      <c r="E88" s="119">
        <v>0.04</v>
      </c>
      <c r="F88" s="117">
        <v>57.27</v>
      </c>
      <c r="G88" s="118">
        <f>F88*E88</f>
        <v>2.2908000000000004</v>
      </c>
    </row>
    <row r="89" spans="1:8" s="126" customFormat="1" ht="15" x14ac:dyDescent="0.25">
      <c r="A89" s="277" t="s">
        <v>501</v>
      </c>
      <c r="B89" s="275">
        <v>740126</v>
      </c>
      <c r="C89" s="276" t="s">
        <v>445</v>
      </c>
      <c r="D89" s="114" t="s">
        <v>6</v>
      </c>
      <c r="E89" s="119">
        <v>1</v>
      </c>
      <c r="F89" s="119">
        <v>39.25</v>
      </c>
      <c r="G89" s="118">
        <f t="shared" ref="G89" si="3">F89*E89</f>
        <v>39.25</v>
      </c>
    </row>
    <row r="90" spans="1:8" s="126" customFormat="1" ht="14.25" customHeight="1" x14ac:dyDescent="0.25">
      <c r="A90" s="120" t="s">
        <v>335</v>
      </c>
      <c r="B90" s="278">
        <v>4230</v>
      </c>
      <c r="C90" s="115" t="s">
        <v>338</v>
      </c>
      <c r="D90" s="114" t="s">
        <v>328</v>
      </c>
      <c r="E90" s="116">
        <v>0.11</v>
      </c>
      <c r="F90" s="117">
        <v>17.95</v>
      </c>
      <c r="G90" s="118">
        <f t="shared" ref="G90" si="4">F90*E90</f>
        <v>1.9744999999999999</v>
      </c>
    </row>
    <row r="91" spans="1:8" ht="30" customHeight="1" x14ac:dyDescent="0.25">
      <c r="A91" s="365" t="s">
        <v>333</v>
      </c>
      <c r="B91" s="366"/>
      <c r="C91" s="367"/>
      <c r="D91" s="367"/>
      <c r="E91" s="368">
        <f>SUM(G86:G90)</f>
        <v>51.944099999999999</v>
      </c>
      <c r="F91" s="369"/>
      <c r="G91" s="370"/>
      <c r="H91" s="181"/>
    </row>
    <row r="92" spans="1:8" ht="30" customHeight="1" x14ac:dyDescent="0.25">
      <c r="A92" s="189" t="s">
        <v>334</v>
      </c>
      <c r="B92" s="429" t="s">
        <v>446</v>
      </c>
      <c r="C92" s="430"/>
      <c r="D92" s="430"/>
      <c r="E92" s="430"/>
      <c r="F92" s="430"/>
      <c r="G92" s="431"/>
      <c r="H92" s="181"/>
    </row>
    <row r="93" spans="1:8" ht="85.5" customHeight="1" x14ac:dyDescent="0.2">
      <c r="A93" s="279" t="s">
        <v>443</v>
      </c>
      <c r="B93" s="192"/>
      <c r="C93" s="417" t="s">
        <v>500</v>
      </c>
      <c r="D93" s="417"/>
      <c r="E93" s="417"/>
      <c r="F93" s="417"/>
      <c r="G93" s="417"/>
      <c r="H93" s="181"/>
    </row>
    <row r="94" spans="1:8" ht="15.75" customHeight="1" thickBot="1" x14ac:dyDescent="0.25">
      <c r="A94" s="200"/>
      <c r="B94" s="200"/>
      <c r="C94" s="200"/>
      <c r="D94" s="200"/>
      <c r="E94" s="200"/>
      <c r="F94" s="200"/>
      <c r="G94" s="200"/>
      <c r="H94" s="181"/>
    </row>
    <row r="95" spans="1:8" ht="32.25" customHeight="1" x14ac:dyDescent="0.25">
      <c r="A95" s="185"/>
      <c r="B95" s="362" t="s">
        <v>339</v>
      </c>
      <c r="C95" s="363"/>
      <c r="D95" s="363"/>
      <c r="E95" s="363"/>
      <c r="F95" s="364"/>
      <c r="G95" s="186" t="s">
        <v>340</v>
      </c>
      <c r="H95" s="181"/>
    </row>
    <row r="96" spans="1:8" ht="15" x14ac:dyDescent="0.25">
      <c r="A96" s="187" t="s">
        <v>321</v>
      </c>
      <c r="B96" s="188" t="s">
        <v>93</v>
      </c>
      <c r="C96" s="189" t="s">
        <v>322</v>
      </c>
      <c r="D96" s="188" t="s">
        <v>323</v>
      </c>
      <c r="E96" s="188" t="s">
        <v>96</v>
      </c>
      <c r="F96" s="188" t="s">
        <v>324</v>
      </c>
      <c r="G96" s="190" t="s">
        <v>325</v>
      </c>
    </row>
    <row r="97" spans="1:9" ht="15" x14ac:dyDescent="0.25">
      <c r="A97" s="191" t="s">
        <v>326</v>
      </c>
      <c r="B97" s="175">
        <v>88309</v>
      </c>
      <c r="C97" s="219" t="s">
        <v>327</v>
      </c>
      <c r="D97" s="175" t="s">
        <v>328</v>
      </c>
      <c r="E97" s="212">
        <f>ROUND(E142*3.75,2)</f>
        <v>29.21</v>
      </c>
      <c r="F97" s="192">
        <v>21.74</v>
      </c>
      <c r="G97" s="194">
        <f>F97*E97</f>
        <v>635.02539999999999</v>
      </c>
      <c r="H97" s="181"/>
    </row>
    <row r="98" spans="1:9" ht="15" x14ac:dyDescent="0.25">
      <c r="A98" s="191" t="s">
        <v>326</v>
      </c>
      <c r="B98" s="176">
        <v>88316</v>
      </c>
      <c r="C98" s="192" t="s">
        <v>329</v>
      </c>
      <c r="D98" s="175" t="s">
        <v>328</v>
      </c>
      <c r="E98" s="212">
        <f>ROUND(E143*3.75,2)</f>
        <v>104.4</v>
      </c>
      <c r="F98" s="192">
        <v>16.21</v>
      </c>
      <c r="G98" s="194">
        <f t="shared" ref="G98:G105" si="5">F98*E98</f>
        <v>1692.3240000000001</v>
      </c>
      <c r="H98" s="181"/>
    </row>
    <row r="99" spans="1:9" ht="14.25" customHeight="1" x14ac:dyDescent="0.2">
      <c r="A99" s="195" t="s">
        <v>326</v>
      </c>
      <c r="B99" s="183">
        <v>94962</v>
      </c>
      <c r="C99" s="219" t="s">
        <v>341</v>
      </c>
      <c r="D99" s="175" t="s">
        <v>5</v>
      </c>
      <c r="E99" s="193">
        <v>0.52</v>
      </c>
      <c r="F99" s="193">
        <v>253.4</v>
      </c>
      <c r="G99" s="194">
        <f t="shared" si="5"/>
        <v>131.768</v>
      </c>
      <c r="H99" s="181"/>
    </row>
    <row r="100" spans="1:9" ht="15" x14ac:dyDescent="0.25">
      <c r="A100" s="191" t="s">
        <v>326</v>
      </c>
      <c r="B100" s="176">
        <v>94963</v>
      </c>
      <c r="C100" s="192" t="s">
        <v>342</v>
      </c>
      <c r="D100" s="175" t="s">
        <v>5</v>
      </c>
      <c r="E100" s="193">
        <v>0.31</v>
      </c>
      <c r="F100" s="192">
        <v>277.85000000000002</v>
      </c>
      <c r="G100" s="194">
        <f t="shared" si="5"/>
        <v>86.133500000000012</v>
      </c>
      <c r="H100" s="181"/>
    </row>
    <row r="101" spans="1:9" ht="28.5" customHeight="1" x14ac:dyDescent="0.25">
      <c r="A101" s="191" t="s">
        <v>326</v>
      </c>
      <c r="B101" s="176" t="s">
        <v>87</v>
      </c>
      <c r="C101" s="192" t="s">
        <v>332</v>
      </c>
      <c r="D101" s="175" t="s">
        <v>5</v>
      </c>
      <c r="E101" s="193">
        <v>0.83</v>
      </c>
      <c r="F101" s="192">
        <v>109.19</v>
      </c>
      <c r="G101" s="194">
        <f t="shared" si="5"/>
        <v>90.62769999999999</v>
      </c>
      <c r="H101" s="181"/>
    </row>
    <row r="102" spans="1:9" ht="30" x14ac:dyDescent="0.2">
      <c r="A102" s="195" t="s">
        <v>326</v>
      </c>
      <c r="B102" s="177">
        <v>96531</v>
      </c>
      <c r="C102" s="196" t="s">
        <v>176</v>
      </c>
      <c r="D102" s="175" t="s">
        <v>6</v>
      </c>
      <c r="E102" s="193">
        <v>0.96</v>
      </c>
      <c r="F102" s="192">
        <v>74.75</v>
      </c>
      <c r="G102" s="194">
        <f t="shared" si="5"/>
        <v>71.759999999999991</v>
      </c>
      <c r="H102" s="181"/>
    </row>
    <row r="103" spans="1:9" ht="15" x14ac:dyDescent="0.25">
      <c r="A103" s="191" t="s">
        <v>326</v>
      </c>
      <c r="B103" s="176" t="s">
        <v>3</v>
      </c>
      <c r="C103" s="192" t="s">
        <v>343</v>
      </c>
      <c r="D103" s="175" t="s">
        <v>4</v>
      </c>
      <c r="E103" s="193">
        <v>49.1</v>
      </c>
      <c r="F103" s="192">
        <v>6.29</v>
      </c>
      <c r="G103" s="194">
        <f t="shared" si="5"/>
        <v>308.839</v>
      </c>
      <c r="H103" s="181"/>
    </row>
    <row r="104" spans="1:9" ht="28.5" customHeight="1" x14ac:dyDescent="0.25">
      <c r="A104" s="191" t="s">
        <v>326</v>
      </c>
      <c r="B104" s="176">
        <v>87335</v>
      </c>
      <c r="C104" s="192" t="s">
        <v>359</v>
      </c>
      <c r="D104" s="175" t="s">
        <v>5</v>
      </c>
      <c r="E104" s="193">
        <v>0.18</v>
      </c>
      <c r="F104" s="193">
        <v>338.96</v>
      </c>
      <c r="G104" s="194">
        <f t="shared" si="5"/>
        <v>61.012799999999991</v>
      </c>
      <c r="H104" s="181"/>
    </row>
    <row r="105" spans="1:9" ht="15" x14ac:dyDescent="0.25">
      <c r="A105" s="195" t="s">
        <v>335</v>
      </c>
      <c r="B105" s="183">
        <v>7258</v>
      </c>
      <c r="C105" s="219" t="s">
        <v>358</v>
      </c>
      <c r="D105" s="175" t="s">
        <v>7</v>
      </c>
      <c r="E105" s="212">
        <v>988</v>
      </c>
      <c r="F105" s="193">
        <v>0.33</v>
      </c>
      <c r="G105" s="194">
        <f t="shared" si="5"/>
        <v>326.04000000000002</v>
      </c>
      <c r="H105" s="181"/>
    </row>
    <row r="106" spans="1:9" ht="15" x14ac:dyDescent="0.25">
      <c r="A106" s="365" t="s">
        <v>333</v>
      </c>
      <c r="B106" s="366"/>
      <c r="C106" s="367"/>
      <c r="D106" s="367"/>
      <c r="E106" s="368">
        <f>SUM(G97:G105)</f>
        <v>3403.5304000000001</v>
      </c>
      <c r="F106" s="369"/>
      <c r="G106" s="370"/>
      <c r="H106" s="181"/>
    </row>
    <row r="107" spans="1:9" ht="13.5" customHeight="1" x14ac:dyDescent="0.25">
      <c r="A107" s="189" t="s">
        <v>334</v>
      </c>
      <c r="B107" s="280" t="s">
        <v>446</v>
      </c>
      <c r="C107" s="281"/>
      <c r="D107" s="281"/>
      <c r="E107" s="281"/>
      <c r="F107" s="281"/>
      <c r="G107" s="282"/>
      <c r="H107" s="181"/>
    </row>
    <row r="108" spans="1:9" ht="42.75" customHeight="1" x14ac:dyDescent="0.2">
      <c r="A108" s="279" t="s">
        <v>360</v>
      </c>
      <c r="B108" s="377" t="s">
        <v>502</v>
      </c>
      <c r="C108" s="418"/>
      <c r="D108" s="418"/>
      <c r="E108" s="418"/>
      <c r="F108" s="418"/>
      <c r="G108" s="418"/>
      <c r="H108" s="181"/>
      <c r="I108" s="492"/>
    </row>
    <row r="109" spans="1:9" ht="13.5" thickBot="1" x14ac:dyDescent="0.25">
      <c r="A109" s="200"/>
      <c r="B109" s="200"/>
      <c r="C109" s="200"/>
      <c r="D109" s="200"/>
      <c r="E109" s="200"/>
      <c r="F109" s="200"/>
      <c r="G109" s="200"/>
      <c r="H109" s="181"/>
    </row>
    <row r="110" spans="1:9" ht="31.5" x14ac:dyDescent="0.25">
      <c r="A110" s="185"/>
      <c r="B110" s="362" t="s">
        <v>345</v>
      </c>
      <c r="C110" s="363"/>
      <c r="D110" s="363"/>
      <c r="E110" s="363"/>
      <c r="F110" s="364"/>
      <c r="G110" s="186" t="s">
        <v>340</v>
      </c>
      <c r="H110" s="181"/>
    </row>
    <row r="111" spans="1:9" ht="27" customHeight="1" x14ac:dyDescent="0.25">
      <c r="A111" s="187" t="s">
        <v>321</v>
      </c>
      <c r="B111" s="188" t="s">
        <v>93</v>
      </c>
      <c r="C111" s="189" t="s">
        <v>322</v>
      </c>
      <c r="D111" s="188" t="s">
        <v>323</v>
      </c>
      <c r="E111" s="188" t="s">
        <v>96</v>
      </c>
      <c r="F111" s="188" t="s">
        <v>324</v>
      </c>
      <c r="G111" s="190" t="s">
        <v>325</v>
      </c>
      <c r="H111" s="181"/>
    </row>
    <row r="112" spans="1:9" ht="15" x14ac:dyDescent="0.25">
      <c r="A112" s="191" t="s">
        <v>326</v>
      </c>
      <c r="B112" s="175">
        <v>88309</v>
      </c>
      <c r="C112" s="219" t="s">
        <v>327</v>
      </c>
      <c r="D112" s="175" t="s">
        <v>328</v>
      </c>
      <c r="E112" s="212">
        <f>ROUND(E142*2,2)</f>
        <v>15.58</v>
      </c>
      <c r="F112" s="192">
        <v>21.74</v>
      </c>
      <c r="G112" s="194">
        <f>F112*E112</f>
        <v>338.70919999999995</v>
      </c>
    </row>
    <row r="113" spans="1:8" ht="15" x14ac:dyDescent="0.25">
      <c r="A113" s="191" t="s">
        <v>326</v>
      </c>
      <c r="B113" s="176">
        <v>88316</v>
      </c>
      <c r="C113" s="192" t="s">
        <v>329</v>
      </c>
      <c r="D113" s="175" t="s">
        <v>328</v>
      </c>
      <c r="E113" s="212">
        <f>ROUND(E143*2,2)</f>
        <v>55.68</v>
      </c>
      <c r="F113" s="192">
        <v>16.21</v>
      </c>
      <c r="G113" s="194">
        <f t="shared" ref="G113:G120" si="6">F113*E113</f>
        <v>902.57280000000003</v>
      </c>
      <c r="H113" s="181"/>
    </row>
    <row r="114" spans="1:8" ht="25.5" x14ac:dyDescent="0.2">
      <c r="A114" s="195" t="s">
        <v>326</v>
      </c>
      <c r="B114" s="183">
        <v>94962</v>
      </c>
      <c r="C114" s="219" t="s">
        <v>341</v>
      </c>
      <c r="D114" s="175" t="s">
        <v>5</v>
      </c>
      <c r="E114" s="193">
        <v>0.16</v>
      </c>
      <c r="F114" s="193">
        <v>253.4</v>
      </c>
      <c r="G114" s="194">
        <f t="shared" si="6"/>
        <v>40.544000000000004</v>
      </c>
      <c r="H114" s="181"/>
    </row>
    <row r="115" spans="1:8" ht="15" customHeight="1" x14ac:dyDescent="0.25">
      <c r="A115" s="191" t="s">
        <v>326</v>
      </c>
      <c r="B115" s="176">
        <v>94963</v>
      </c>
      <c r="C115" s="192" t="s">
        <v>342</v>
      </c>
      <c r="D115" s="175" t="s">
        <v>5</v>
      </c>
      <c r="E115" s="193">
        <v>0.14000000000000001</v>
      </c>
      <c r="F115" s="192">
        <v>277.85000000000002</v>
      </c>
      <c r="G115" s="194">
        <f t="shared" si="6"/>
        <v>38.899000000000008</v>
      </c>
      <c r="H115" s="181"/>
    </row>
    <row r="116" spans="1:8" ht="15" x14ac:dyDescent="0.25">
      <c r="A116" s="191" t="s">
        <v>326</v>
      </c>
      <c r="B116" s="176" t="s">
        <v>87</v>
      </c>
      <c r="C116" s="192" t="s">
        <v>332</v>
      </c>
      <c r="D116" s="175" t="s">
        <v>5</v>
      </c>
      <c r="E116" s="193">
        <v>0.3</v>
      </c>
      <c r="F116" s="192">
        <v>109.19</v>
      </c>
      <c r="G116" s="194">
        <f t="shared" si="6"/>
        <v>32.756999999999998</v>
      </c>
      <c r="H116" s="181"/>
    </row>
    <row r="117" spans="1:8" ht="31.5" customHeight="1" x14ac:dyDescent="0.2">
      <c r="A117" s="195" t="s">
        <v>326</v>
      </c>
      <c r="B117" s="177">
        <v>96531</v>
      </c>
      <c r="C117" s="196" t="s">
        <v>176</v>
      </c>
      <c r="D117" s="175" t="s">
        <v>6</v>
      </c>
      <c r="E117" s="193">
        <v>0.43</v>
      </c>
      <c r="F117" s="192">
        <v>74.75</v>
      </c>
      <c r="G117" s="194">
        <f t="shared" si="6"/>
        <v>32.142499999999998</v>
      </c>
      <c r="H117" s="181"/>
    </row>
    <row r="118" spans="1:8" ht="15" x14ac:dyDescent="0.25">
      <c r="A118" s="191" t="s">
        <v>326</v>
      </c>
      <c r="B118" s="176" t="s">
        <v>3</v>
      </c>
      <c r="C118" s="192" t="s">
        <v>343</v>
      </c>
      <c r="D118" s="175" t="s">
        <v>4</v>
      </c>
      <c r="E118" s="193">
        <v>15.36</v>
      </c>
      <c r="F118" s="192">
        <v>6.29</v>
      </c>
      <c r="G118" s="194">
        <f t="shared" si="6"/>
        <v>96.614400000000003</v>
      </c>
      <c r="H118" s="181"/>
    </row>
    <row r="119" spans="1:8" ht="15" x14ac:dyDescent="0.25">
      <c r="A119" s="191" t="s">
        <v>326</v>
      </c>
      <c r="B119" s="176">
        <v>87335</v>
      </c>
      <c r="C119" s="192" t="s">
        <v>359</v>
      </c>
      <c r="D119" s="175" t="s">
        <v>5</v>
      </c>
      <c r="E119" s="193">
        <v>0.08</v>
      </c>
      <c r="F119" s="193">
        <v>338.96</v>
      </c>
      <c r="G119" s="194">
        <f t="shared" si="6"/>
        <v>27.116799999999998</v>
      </c>
      <c r="H119" s="181"/>
    </row>
    <row r="120" spans="1:8" ht="30.75" customHeight="1" x14ac:dyDescent="0.25">
      <c r="A120" s="195" t="s">
        <v>335</v>
      </c>
      <c r="B120" s="183">
        <v>7258</v>
      </c>
      <c r="C120" s="219" t="s">
        <v>358</v>
      </c>
      <c r="D120" s="175" t="s">
        <v>7</v>
      </c>
      <c r="E120" s="212">
        <v>221</v>
      </c>
      <c r="F120" s="193">
        <v>0.33</v>
      </c>
      <c r="G120" s="194">
        <f t="shared" si="6"/>
        <v>72.930000000000007</v>
      </c>
      <c r="H120" s="181"/>
    </row>
    <row r="121" spans="1:8" ht="15" x14ac:dyDescent="0.25">
      <c r="A121" s="365" t="s">
        <v>333</v>
      </c>
      <c r="B121" s="366"/>
      <c r="C121" s="367"/>
      <c r="D121" s="367"/>
      <c r="E121" s="368">
        <f>SUM(G112:G120)</f>
        <v>1582.2857000000001</v>
      </c>
      <c r="F121" s="369"/>
      <c r="G121" s="370"/>
      <c r="H121" s="181"/>
    </row>
    <row r="122" spans="1:8" ht="15" x14ac:dyDescent="0.25">
      <c r="A122" s="189" t="s">
        <v>334</v>
      </c>
      <c r="B122" s="280" t="s">
        <v>446</v>
      </c>
      <c r="C122" s="281"/>
      <c r="D122" s="281"/>
      <c r="E122" s="281"/>
      <c r="F122" s="281"/>
      <c r="G122" s="282"/>
      <c r="H122" s="181"/>
    </row>
    <row r="123" spans="1:8" ht="39.75" customHeight="1" x14ac:dyDescent="0.25">
      <c r="A123" s="189" t="s">
        <v>360</v>
      </c>
      <c r="B123" s="377" t="s">
        <v>503</v>
      </c>
      <c r="C123" s="418"/>
      <c r="D123" s="418"/>
      <c r="E123" s="418"/>
      <c r="F123" s="418"/>
      <c r="G123" s="418"/>
      <c r="H123" s="181"/>
    </row>
    <row r="124" spans="1:8" ht="15" customHeight="1" thickBot="1" x14ac:dyDescent="0.25">
      <c r="A124" s="200"/>
      <c r="B124" s="200"/>
      <c r="C124" s="200"/>
      <c r="D124" s="200"/>
      <c r="E124" s="200"/>
      <c r="F124" s="200"/>
      <c r="G124" s="200"/>
      <c r="H124" s="181"/>
    </row>
    <row r="125" spans="1:8" ht="31.5" x14ac:dyDescent="0.25">
      <c r="A125" s="185"/>
      <c r="B125" s="362" t="s">
        <v>346</v>
      </c>
      <c r="C125" s="363"/>
      <c r="D125" s="363"/>
      <c r="E125" s="363"/>
      <c r="F125" s="364"/>
      <c r="G125" s="186" t="s">
        <v>340</v>
      </c>
      <c r="H125" s="181"/>
    </row>
    <row r="126" spans="1:8" ht="15" x14ac:dyDescent="0.25">
      <c r="A126" s="187" t="s">
        <v>321</v>
      </c>
      <c r="B126" s="188" t="s">
        <v>93</v>
      </c>
      <c r="C126" s="189" t="s">
        <v>322</v>
      </c>
      <c r="D126" s="188" t="s">
        <v>323</v>
      </c>
      <c r="E126" s="188" t="s">
        <v>96</v>
      </c>
      <c r="F126" s="188" t="s">
        <v>324</v>
      </c>
      <c r="G126" s="190" t="s">
        <v>325</v>
      </c>
      <c r="H126" s="181"/>
    </row>
    <row r="127" spans="1:8" ht="27" customHeight="1" x14ac:dyDescent="0.25">
      <c r="A127" s="191" t="s">
        <v>326</v>
      </c>
      <c r="B127" s="175">
        <v>88309</v>
      </c>
      <c r="C127" s="219" t="s">
        <v>327</v>
      </c>
      <c r="D127" s="175" t="s">
        <v>328</v>
      </c>
      <c r="E127" s="212">
        <f>ROUND(E142*1.5,2)</f>
        <v>11.69</v>
      </c>
      <c r="F127" s="192">
        <v>21.74</v>
      </c>
      <c r="G127" s="194">
        <f>F127*E127</f>
        <v>254.14059999999998</v>
      </c>
      <c r="H127" s="181"/>
    </row>
    <row r="128" spans="1:8" ht="15" x14ac:dyDescent="0.25">
      <c r="A128" s="191" t="s">
        <v>326</v>
      </c>
      <c r="B128" s="176">
        <v>88316</v>
      </c>
      <c r="C128" s="192" t="s">
        <v>329</v>
      </c>
      <c r="D128" s="175" t="s">
        <v>328</v>
      </c>
      <c r="E128" s="212">
        <f>ROUND(E143*1.5,2)</f>
        <v>41.76</v>
      </c>
      <c r="F128" s="192">
        <v>16.21</v>
      </c>
      <c r="G128" s="194">
        <f t="shared" ref="G128:G135" si="7">F128*E128</f>
        <v>676.92960000000005</v>
      </c>
    </row>
    <row r="129" spans="1:8" ht="25.5" x14ac:dyDescent="0.2">
      <c r="A129" s="195" t="s">
        <v>326</v>
      </c>
      <c r="B129" s="183">
        <v>94962</v>
      </c>
      <c r="C129" s="219" t="s">
        <v>341</v>
      </c>
      <c r="D129" s="175" t="s">
        <v>5</v>
      </c>
      <c r="E129" s="193">
        <v>0.13</v>
      </c>
      <c r="F129" s="193">
        <v>253.4</v>
      </c>
      <c r="G129" s="194">
        <f t="shared" si="7"/>
        <v>32.942</v>
      </c>
      <c r="H129" s="181"/>
    </row>
    <row r="130" spans="1:8" ht="15" x14ac:dyDescent="0.25">
      <c r="A130" s="191" t="s">
        <v>326</v>
      </c>
      <c r="B130" s="176">
        <v>94963</v>
      </c>
      <c r="C130" s="192" t="s">
        <v>342</v>
      </c>
      <c r="D130" s="175" t="s">
        <v>5</v>
      </c>
      <c r="E130" s="193">
        <v>0.11</v>
      </c>
      <c r="F130" s="192">
        <v>277.85000000000002</v>
      </c>
      <c r="G130" s="194">
        <f t="shared" si="7"/>
        <v>30.563500000000001</v>
      </c>
      <c r="H130" s="181"/>
    </row>
    <row r="131" spans="1:8" ht="15" customHeight="1" x14ac:dyDescent="0.25">
      <c r="A131" s="191" t="s">
        <v>326</v>
      </c>
      <c r="B131" s="176" t="s">
        <v>87</v>
      </c>
      <c r="C131" s="192" t="s">
        <v>332</v>
      </c>
      <c r="D131" s="175" t="s">
        <v>5</v>
      </c>
      <c r="E131" s="193">
        <v>0.25</v>
      </c>
      <c r="F131" s="192">
        <v>109.19</v>
      </c>
      <c r="G131" s="194">
        <f t="shared" si="7"/>
        <v>27.297499999999999</v>
      </c>
      <c r="H131" s="181"/>
    </row>
    <row r="132" spans="1:8" ht="30" x14ac:dyDescent="0.2">
      <c r="A132" s="195" t="s">
        <v>326</v>
      </c>
      <c r="B132" s="177">
        <v>96531</v>
      </c>
      <c r="C132" s="196" t="s">
        <v>176</v>
      </c>
      <c r="D132" s="175" t="s">
        <v>6</v>
      </c>
      <c r="E132" s="193">
        <v>0.38</v>
      </c>
      <c r="F132" s="192">
        <v>74.75</v>
      </c>
      <c r="G132" s="194">
        <f t="shared" si="7"/>
        <v>28.405000000000001</v>
      </c>
      <c r="H132" s="181"/>
    </row>
    <row r="133" spans="1:8" ht="25.5" customHeight="1" x14ac:dyDescent="0.25">
      <c r="A133" s="191" t="s">
        <v>326</v>
      </c>
      <c r="B133" s="176" t="s">
        <v>3</v>
      </c>
      <c r="C133" s="192" t="s">
        <v>343</v>
      </c>
      <c r="D133" s="175" t="s">
        <v>4</v>
      </c>
      <c r="E133" s="193">
        <v>12.43</v>
      </c>
      <c r="F133" s="192">
        <v>6.29</v>
      </c>
      <c r="G133" s="194">
        <f t="shared" si="7"/>
        <v>78.184699999999992</v>
      </c>
      <c r="H133" s="181"/>
    </row>
    <row r="134" spans="1:8" ht="15" x14ac:dyDescent="0.25">
      <c r="A134" s="191" t="s">
        <v>326</v>
      </c>
      <c r="B134" s="176">
        <v>87335</v>
      </c>
      <c r="C134" s="192" t="s">
        <v>359</v>
      </c>
      <c r="D134" s="175" t="s">
        <v>5</v>
      </c>
      <c r="E134" s="193">
        <v>0.06</v>
      </c>
      <c r="F134" s="193">
        <v>338.96</v>
      </c>
      <c r="G134" s="194">
        <f t="shared" si="7"/>
        <v>20.337599999999998</v>
      </c>
      <c r="H134" s="181"/>
    </row>
    <row r="135" spans="1:8" ht="15" x14ac:dyDescent="0.25">
      <c r="A135" s="195" t="s">
        <v>335</v>
      </c>
      <c r="B135" s="183">
        <v>7258</v>
      </c>
      <c r="C135" s="219" t="s">
        <v>358</v>
      </c>
      <c r="D135" s="175" t="s">
        <v>7</v>
      </c>
      <c r="E135" s="212">
        <v>172</v>
      </c>
      <c r="F135" s="193">
        <v>0.33</v>
      </c>
      <c r="G135" s="194">
        <f t="shared" si="7"/>
        <v>56.760000000000005</v>
      </c>
      <c r="H135" s="181"/>
    </row>
    <row r="136" spans="1:8" ht="34.5" customHeight="1" x14ac:dyDescent="0.25">
      <c r="A136" s="365" t="s">
        <v>333</v>
      </c>
      <c r="B136" s="366"/>
      <c r="C136" s="367"/>
      <c r="D136" s="367"/>
      <c r="E136" s="368">
        <f>SUM(G127:G135)</f>
        <v>1205.5605</v>
      </c>
      <c r="F136" s="369"/>
      <c r="G136" s="370"/>
      <c r="H136" s="181"/>
    </row>
    <row r="137" spans="1:8" ht="15" x14ac:dyDescent="0.25">
      <c r="A137" s="189" t="s">
        <v>334</v>
      </c>
      <c r="B137" s="280" t="s">
        <v>446</v>
      </c>
      <c r="C137" s="281"/>
      <c r="D137" s="281"/>
      <c r="E137" s="281"/>
      <c r="F137" s="281"/>
      <c r="G137" s="282"/>
      <c r="H137" s="181"/>
    </row>
    <row r="138" spans="1:8" ht="45" customHeight="1" x14ac:dyDescent="0.2">
      <c r="A138" s="279" t="s">
        <v>360</v>
      </c>
      <c r="B138" s="377" t="s">
        <v>504</v>
      </c>
      <c r="C138" s="418"/>
      <c r="D138" s="418"/>
      <c r="E138" s="418"/>
      <c r="F138" s="418"/>
      <c r="G138" s="418"/>
      <c r="H138" s="181"/>
    </row>
    <row r="139" spans="1:8" ht="14.25" customHeight="1" thickBot="1" x14ac:dyDescent="0.25">
      <c r="A139" s="200"/>
      <c r="B139" s="200"/>
      <c r="C139" s="200"/>
      <c r="D139" s="200"/>
      <c r="E139" s="200"/>
      <c r="F139" s="200"/>
      <c r="G139" s="200"/>
      <c r="H139" s="181"/>
    </row>
    <row r="140" spans="1:8" ht="33" customHeight="1" x14ac:dyDescent="0.25">
      <c r="A140" s="185"/>
      <c r="B140" s="362" t="s">
        <v>347</v>
      </c>
      <c r="C140" s="363"/>
      <c r="D140" s="363"/>
      <c r="E140" s="363"/>
      <c r="F140" s="364"/>
      <c r="G140" s="186" t="s">
        <v>340</v>
      </c>
      <c r="H140" s="181"/>
    </row>
    <row r="141" spans="1:8" ht="15" x14ac:dyDescent="0.25">
      <c r="A141" s="187" t="s">
        <v>321</v>
      </c>
      <c r="B141" s="188" t="s">
        <v>93</v>
      </c>
      <c r="C141" s="189" t="s">
        <v>322</v>
      </c>
      <c r="D141" s="188" t="s">
        <v>323</v>
      </c>
      <c r="E141" s="188" t="s">
        <v>96</v>
      </c>
      <c r="F141" s="188" t="s">
        <v>324</v>
      </c>
      <c r="G141" s="190" t="s">
        <v>325</v>
      </c>
      <c r="H141" s="181"/>
    </row>
    <row r="142" spans="1:8" ht="15" x14ac:dyDescent="0.25">
      <c r="A142" s="191" t="s">
        <v>326</v>
      </c>
      <c r="B142" s="175">
        <v>88309</v>
      </c>
      <c r="C142" s="219" t="s">
        <v>327</v>
      </c>
      <c r="D142" s="175" t="s">
        <v>328</v>
      </c>
      <c r="E142" s="212">
        <v>7.79</v>
      </c>
      <c r="F142" s="192">
        <v>21.74</v>
      </c>
      <c r="G142" s="194">
        <f>F142*E142</f>
        <v>169.35459999999998</v>
      </c>
      <c r="H142" s="181"/>
    </row>
    <row r="143" spans="1:8" ht="15" x14ac:dyDescent="0.25">
      <c r="A143" s="191" t="s">
        <v>326</v>
      </c>
      <c r="B143" s="176">
        <v>88316</v>
      </c>
      <c r="C143" s="192" t="s">
        <v>329</v>
      </c>
      <c r="D143" s="175" t="s">
        <v>328</v>
      </c>
      <c r="E143" s="193">
        <v>27.84</v>
      </c>
      <c r="F143" s="192">
        <v>16.21</v>
      </c>
      <c r="G143" s="194">
        <f t="shared" ref="G143:G150" si="8">F143*E143</f>
        <v>451.28640000000001</v>
      </c>
      <c r="H143" s="181"/>
    </row>
    <row r="144" spans="1:8" ht="25.5" x14ac:dyDescent="0.2">
      <c r="A144" s="195" t="s">
        <v>326</v>
      </c>
      <c r="B144" s="183">
        <v>94962</v>
      </c>
      <c r="C144" s="219" t="s">
        <v>341</v>
      </c>
      <c r="D144" s="175" t="s">
        <v>5</v>
      </c>
      <c r="E144" s="193">
        <v>0.09</v>
      </c>
      <c r="F144" s="193">
        <v>253.4</v>
      </c>
      <c r="G144" s="194">
        <f t="shared" si="8"/>
        <v>22.806000000000001</v>
      </c>
      <c r="H144" s="181"/>
    </row>
    <row r="145" spans="1:8" ht="15" x14ac:dyDescent="0.25">
      <c r="A145" s="191" t="s">
        <v>326</v>
      </c>
      <c r="B145" s="176">
        <v>94963</v>
      </c>
      <c r="C145" s="192" t="s">
        <v>342</v>
      </c>
      <c r="D145" s="175" t="s">
        <v>5</v>
      </c>
      <c r="E145" s="193">
        <v>7.0000000000000007E-2</v>
      </c>
      <c r="F145" s="192">
        <v>277.85000000000002</v>
      </c>
      <c r="G145" s="194">
        <f t="shared" si="8"/>
        <v>19.449500000000004</v>
      </c>
      <c r="H145" s="181"/>
    </row>
    <row r="146" spans="1:8" ht="15" x14ac:dyDescent="0.25">
      <c r="A146" s="191" t="s">
        <v>326</v>
      </c>
      <c r="B146" s="176" t="s">
        <v>87</v>
      </c>
      <c r="C146" s="192" t="s">
        <v>332</v>
      </c>
      <c r="D146" s="175" t="s">
        <v>5</v>
      </c>
      <c r="E146" s="193">
        <v>0.16</v>
      </c>
      <c r="F146" s="192">
        <v>109.19</v>
      </c>
      <c r="G146" s="194">
        <f t="shared" si="8"/>
        <v>17.470400000000001</v>
      </c>
      <c r="H146" s="181"/>
    </row>
    <row r="147" spans="1:8" ht="31.5" customHeight="1" x14ac:dyDescent="0.2">
      <c r="A147" s="195" t="s">
        <v>326</v>
      </c>
      <c r="B147" s="177">
        <v>96531</v>
      </c>
      <c r="C147" s="196" t="s">
        <v>176</v>
      </c>
      <c r="D147" s="175" t="s">
        <v>6</v>
      </c>
      <c r="E147" s="193">
        <v>0.3</v>
      </c>
      <c r="F147" s="192">
        <v>74.75</v>
      </c>
      <c r="G147" s="194">
        <f t="shared" si="8"/>
        <v>22.425000000000001</v>
      </c>
      <c r="H147" s="181"/>
    </row>
    <row r="148" spans="1:8" ht="15" x14ac:dyDescent="0.25">
      <c r="A148" s="191" t="s">
        <v>326</v>
      </c>
      <c r="B148" s="176" t="s">
        <v>3</v>
      </c>
      <c r="C148" s="192" t="s">
        <v>343</v>
      </c>
      <c r="D148" s="175" t="s">
        <v>4</v>
      </c>
      <c r="E148" s="193">
        <v>7.78</v>
      </c>
      <c r="F148" s="192">
        <v>6.29</v>
      </c>
      <c r="G148" s="194">
        <f t="shared" si="8"/>
        <v>48.936199999999999</v>
      </c>
      <c r="H148" s="181"/>
    </row>
    <row r="149" spans="1:8" ht="15" x14ac:dyDescent="0.25">
      <c r="A149" s="191" t="s">
        <v>326</v>
      </c>
      <c r="B149" s="176">
        <v>87335</v>
      </c>
      <c r="C149" s="192" t="s">
        <v>359</v>
      </c>
      <c r="D149" s="175" t="s">
        <v>5</v>
      </c>
      <c r="E149" s="193">
        <v>0.04</v>
      </c>
      <c r="F149" s="193">
        <v>338.96</v>
      </c>
      <c r="G149" s="194">
        <f t="shared" si="8"/>
        <v>13.558399999999999</v>
      </c>
      <c r="H149" s="181"/>
    </row>
    <row r="150" spans="1:8" ht="15" x14ac:dyDescent="0.25">
      <c r="A150" s="195" t="s">
        <v>335</v>
      </c>
      <c r="B150" s="183">
        <v>7258</v>
      </c>
      <c r="C150" s="219" t="s">
        <v>358</v>
      </c>
      <c r="D150" s="175" t="s">
        <v>7</v>
      </c>
      <c r="E150" s="212">
        <v>113</v>
      </c>
      <c r="F150" s="193">
        <v>0.33</v>
      </c>
      <c r="G150" s="194">
        <f t="shared" si="8"/>
        <v>37.29</v>
      </c>
      <c r="H150" s="181"/>
    </row>
    <row r="151" spans="1:8" ht="15" x14ac:dyDescent="0.25">
      <c r="A151" s="365" t="s">
        <v>333</v>
      </c>
      <c r="B151" s="366"/>
      <c r="C151" s="367"/>
      <c r="D151" s="367"/>
      <c r="E151" s="368">
        <f>SUM(G142:G150)</f>
        <v>802.57650000000001</v>
      </c>
      <c r="F151" s="369"/>
      <c r="G151" s="370"/>
      <c r="H151" s="181"/>
    </row>
    <row r="152" spans="1:8" ht="15" x14ac:dyDescent="0.25">
      <c r="A152" s="189" t="s">
        <v>334</v>
      </c>
      <c r="B152" s="280" t="s">
        <v>446</v>
      </c>
      <c r="C152" s="281"/>
      <c r="D152" s="281"/>
      <c r="E152" s="281"/>
      <c r="F152" s="281"/>
      <c r="G152" s="282"/>
      <c r="H152" s="181"/>
    </row>
    <row r="153" spans="1:8" ht="30" customHeight="1" x14ac:dyDescent="0.25">
      <c r="A153" s="189" t="s">
        <v>360</v>
      </c>
      <c r="B153" s="377" t="s">
        <v>505</v>
      </c>
      <c r="C153" s="418"/>
      <c r="D153" s="418"/>
      <c r="E153" s="418"/>
      <c r="F153" s="418"/>
      <c r="G153" s="418"/>
      <c r="H153" s="181"/>
    </row>
    <row r="154" spans="1:8" ht="13.5" thickBot="1" x14ac:dyDescent="0.25">
      <c r="A154" s="200"/>
      <c r="B154" s="200"/>
      <c r="C154" s="200"/>
      <c r="D154" s="200"/>
      <c r="E154" s="200"/>
      <c r="F154" s="200"/>
      <c r="G154" s="200"/>
      <c r="H154" s="181"/>
    </row>
    <row r="155" spans="1:8" ht="31.5" x14ac:dyDescent="0.25">
      <c r="A155" s="185"/>
      <c r="B155" s="362" t="s">
        <v>348</v>
      </c>
      <c r="C155" s="363"/>
      <c r="D155" s="363"/>
      <c r="E155" s="363"/>
      <c r="F155" s="364"/>
      <c r="G155" s="186" t="s">
        <v>340</v>
      </c>
      <c r="H155" s="181"/>
    </row>
    <row r="156" spans="1:8" ht="15" x14ac:dyDescent="0.25">
      <c r="A156" s="187" t="s">
        <v>321</v>
      </c>
      <c r="B156" s="188" t="s">
        <v>93</v>
      </c>
      <c r="C156" s="189" t="s">
        <v>322</v>
      </c>
      <c r="D156" s="188" t="s">
        <v>323</v>
      </c>
      <c r="E156" s="188" t="s">
        <v>96</v>
      </c>
      <c r="F156" s="188" t="s">
        <v>324</v>
      </c>
      <c r="G156" s="190" t="s">
        <v>325</v>
      </c>
      <c r="H156" s="181"/>
    </row>
    <row r="157" spans="1:8" ht="15" x14ac:dyDescent="0.25">
      <c r="A157" s="191" t="s">
        <v>326</v>
      </c>
      <c r="B157" s="175">
        <v>88309</v>
      </c>
      <c r="C157" s="219" t="s">
        <v>327</v>
      </c>
      <c r="D157" s="175" t="s">
        <v>328</v>
      </c>
      <c r="E157" s="212">
        <f>E205*3.75</f>
        <v>29.212499999999999</v>
      </c>
      <c r="F157" s="192">
        <v>21.74</v>
      </c>
      <c r="G157" s="194">
        <f>F157*E157</f>
        <v>635.07974999999988</v>
      </c>
      <c r="H157" s="181"/>
    </row>
    <row r="158" spans="1:8" ht="15" x14ac:dyDescent="0.25">
      <c r="A158" s="191" t="s">
        <v>326</v>
      </c>
      <c r="B158" s="176">
        <v>88316</v>
      </c>
      <c r="C158" s="192" t="s">
        <v>329</v>
      </c>
      <c r="D158" s="175" t="s">
        <v>328</v>
      </c>
      <c r="E158" s="212">
        <f>E206*3.75</f>
        <v>104.4</v>
      </c>
      <c r="F158" s="192">
        <v>16.21</v>
      </c>
      <c r="G158" s="194">
        <f t="shared" ref="G158:G166" si="9">F158*E158</f>
        <v>1692.3240000000001</v>
      </c>
      <c r="H158" s="181"/>
    </row>
    <row r="159" spans="1:8" ht="25.5" x14ac:dyDescent="0.2">
      <c r="A159" s="195" t="s">
        <v>326</v>
      </c>
      <c r="B159" s="183">
        <v>94962</v>
      </c>
      <c r="C159" s="219" t="s">
        <v>341</v>
      </c>
      <c r="D159" s="175" t="s">
        <v>5</v>
      </c>
      <c r="E159" s="193">
        <v>0.28999999999999998</v>
      </c>
      <c r="F159" s="193">
        <v>253.4</v>
      </c>
      <c r="G159" s="194">
        <f t="shared" si="9"/>
        <v>73.48599999999999</v>
      </c>
      <c r="H159" s="181"/>
    </row>
    <row r="160" spans="1:8" ht="15" x14ac:dyDescent="0.25">
      <c r="A160" s="191" t="s">
        <v>326</v>
      </c>
      <c r="B160" s="176">
        <v>94963</v>
      </c>
      <c r="C160" s="192" t="s">
        <v>342</v>
      </c>
      <c r="D160" s="175" t="s">
        <v>5</v>
      </c>
      <c r="E160" s="193">
        <v>0.2</v>
      </c>
      <c r="F160" s="192">
        <v>277.85000000000002</v>
      </c>
      <c r="G160" s="194">
        <f t="shared" si="9"/>
        <v>55.570000000000007</v>
      </c>
      <c r="H160" s="181"/>
    </row>
    <row r="161" spans="1:8" ht="15" x14ac:dyDescent="0.25">
      <c r="A161" s="191" t="s">
        <v>326</v>
      </c>
      <c r="B161" s="176" t="s">
        <v>87</v>
      </c>
      <c r="C161" s="192" t="s">
        <v>332</v>
      </c>
      <c r="D161" s="175" t="s">
        <v>5</v>
      </c>
      <c r="E161" s="193">
        <v>0.49</v>
      </c>
      <c r="F161" s="192">
        <v>109.19</v>
      </c>
      <c r="G161" s="194">
        <f t="shared" si="9"/>
        <v>53.503099999999996</v>
      </c>
      <c r="H161" s="181"/>
    </row>
    <row r="162" spans="1:8" ht="30" x14ac:dyDescent="0.2">
      <c r="A162" s="195" t="s">
        <v>326</v>
      </c>
      <c r="B162" s="177">
        <v>96531</v>
      </c>
      <c r="C162" s="196" t="s">
        <v>176</v>
      </c>
      <c r="D162" s="175" t="s">
        <v>6</v>
      </c>
      <c r="E162" s="193">
        <v>0.57999999999999996</v>
      </c>
      <c r="F162" s="192">
        <v>74.75</v>
      </c>
      <c r="G162" s="194">
        <f t="shared" si="9"/>
        <v>43.354999999999997</v>
      </c>
      <c r="H162" s="181"/>
    </row>
    <row r="163" spans="1:8" ht="22.5" customHeight="1" x14ac:dyDescent="0.25">
      <c r="A163" s="191" t="s">
        <v>326</v>
      </c>
      <c r="B163" s="176" t="s">
        <v>3</v>
      </c>
      <c r="C163" s="192" t="s">
        <v>343</v>
      </c>
      <c r="D163" s="175" t="s">
        <v>4</v>
      </c>
      <c r="E163" s="193">
        <v>12.05</v>
      </c>
      <c r="F163" s="192">
        <v>6.29</v>
      </c>
      <c r="G163" s="194">
        <f t="shared" si="9"/>
        <v>75.794499999999999</v>
      </c>
      <c r="H163" s="181"/>
    </row>
    <row r="164" spans="1:8" ht="15" x14ac:dyDescent="0.25">
      <c r="A164" s="191" t="s">
        <v>326</v>
      </c>
      <c r="B164" s="176">
        <v>87335</v>
      </c>
      <c r="C164" s="192" t="s">
        <v>359</v>
      </c>
      <c r="D164" s="175" t="s">
        <v>5</v>
      </c>
      <c r="E164" s="193">
        <v>0.24</v>
      </c>
      <c r="F164" s="193">
        <v>338.96</v>
      </c>
      <c r="G164" s="194">
        <f t="shared" si="9"/>
        <v>81.350399999999993</v>
      </c>
    </row>
    <row r="165" spans="1:8" ht="15" x14ac:dyDescent="0.25">
      <c r="A165" s="195"/>
      <c r="B165" s="183">
        <v>7258</v>
      </c>
      <c r="C165" s="219" t="s">
        <v>358</v>
      </c>
      <c r="D165" s="175" t="s">
        <v>7</v>
      </c>
      <c r="E165" s="212">
        <v>1304</v>
      </c>
      <c r="F165" s="193">
        <v>0.33</v>
      </c>
      <c r="G165" s="194">
        <f t="shared" si="9"/>
        <v>430.32</v>
      </c>
    </row>
    <row r="166" spans="1:8" ht="26.25" x14ac:dyDescent="0.25">
      <c r="A166" s="195" t="s">
        <v>335</v>
      </c>
      <c r="B166" s="184">
        <v>11245</v>
      </c>
      <c r="C166" s="219" t="s">
        <v>349</v>
      </c>
      <c r="D166" s="175" t="s">
        <v>7</v>
      </c>
      <c r="E166" s="220">
        <v>1</v>
      </c>
      <c r="F166" s="212">
        <v>215.81</v>
      </c>
      <c r="G166" s="194">
        <f t="shared" si="9"/>
        <v>215.81</v>
      </c>
    </row>
    <row r="167" spans="1:8" ht="15" x14ac:dyDescent="0.25">
      <c r="A167" s="365" t="s">
        <v>333</v>
      </c>
      <c r="B167" s="366"/>
      <c r="C167" s="367"/>
      <c r="D167" s="367"/>
      <c r="E167" s="368">
        <f>SUM(G157:G166)</f>
        <v>3356.5927499999998</v>
      </c>
      <c r="F167" s="369"/>
      <c r="G167" s="370"/>
    </row>
    <row r="168" spans="1:8" ht="15" x14ac:dyDescent="0.25">
      <c r="A168" s="189" t="s">
        <v>334</v>
      </c>
      <c r="B168" s="280" t="s">
        <v>446</v>
      </c>
      <c r="C168" s="281"/>
      <c r="D168" s="281"/>
      <c r="E168" s="281"/>
      <c r="F168" s="281"/>
      <c r="G168" s="282"/>
    </row>
    <row r="169" spans="1:8" ht="42.75" customHeight="1" x14ac:dyDescent="0.2">
      <c r="A169" s="279" t="s">
        <v>360</v>
      </c>
      <c r="B169" s="377" t="s">
        <v>506</v>
      </c>
      <c r="C169" s="418"/>
      <c r="D169" s="418"/>
      <c r="E169" s="418"/>
      <c r="F169" s="418"/>
      <c r="G169" s="418"/>
    </row>
    <row r="170" spans="1:8" ht="13.5" thickBot="1" x14ac:dyDescent="0.25">
      <c r="A170" s="200"/>
      <c r="B170" s="200"/>
      <c r="C170" s="200"/>
      <c r="D170" s="200"/>
      <c r="E170" s="200"/>
      <c r="F170" s="200"/>
      <c r="G170" s="200"/>
    </row>
    <row r="171" spans="1:8" ht="31.5" x14ac:dyDescent="0.25">
      <c r="A171" s="185"/>
      <c r="B171" s="362" t="s">
        <v>350</v>
      </c>
      <c r="C171" s="363"/>
      <c r="D171" s="363"/>
      <c r="E171" s="363"/>
      <c r="F171" s="364"/>
      <c r="G171" s="186" t="s">
        <v>340</v>
      </c>
    </row>
    <row r="172" spans="1:8" ht="15" x14ac:dyDescent="0.25">
      <c r="A172" s="187" t="s">
        <v>321</v>
      </c>
      <c r="B172" s="188" t="s">
        <v>93</v>
      </c>
      <c r="C172" s="189" t="s">
        <v>322</v>
      </c>
      <c r="D172" s="188" t="s">
        <v>323</v>
      </c>
      <c r="E172" s="188" t="s">
        <v>96</v>
      </c>
      <c r="F172" s="188" t="s">
        <v>324</v>
      </c>
      <c r="G172" s="190" t="s">
        <v>325</v>
      </c>
    </row>
    <row r="173" spans="1:8" ht="15" x14ac:dyDescent="0.25">
      <c r="A173" s="191" t="s">
        <v>326</v>
      </c>
      <c r="B173" s="175">
        <v>88309</v>
      </c>
      <c r="C173" s="219" t="s">
        <v>327</v>
      </c>
      <c r="D173" s="175" t="s">
        <v>328</v>
      </c>
      <c r="E173" s="212">
        <f>E205*2</f>
        <v>15.58</v>
      </c>
      <c r="F173" s="192">
        <v>21.74</v>
      </c>
      <c r="G173" s="194">
        <f>F173*E173</f>
        <v>338.70919999999995</v>
      </c>
    </row>
    <row r="174" spans="1:8" ht="15" x14ac:dyDescent="0.25">
      <c r="A174" s="191" t="s">
        <v>326</v>
      </c>
      <c r="B174" s="176">
        <v>88316</v>
      </c>
      <c r="C174" s="192" t="s">
        <v>329</v>
      </c>
      <c r="D174" s="175" t="s">
        <v>328</v>
      </c>
      <c r="E174" s="193">
        <f>E206*2</f>
        <v>55.68</v>
      </c>
      <c r="F174" s="192">
        <v>16.21</v>
      </c>
      <c r="G174" s="194">
        <f t="shared" ref="G174:G182" si="10">F174*E174</f>
        <v>902.57280000000003</v>
      </c>
    </row>
    <row r="175" spans="1:8" ht="25.5" x14ac:dyDescent="0.2">
      <c r="A175" s="195" t="s">
        <v>326</v>
      </c>
      <c r="B175" s="183">
        <v>94962</v>
      </c>
      <c r="C175" s="219" t="s">
        <v>341</v>
      </c>
      <c r="D175" s="175" t="s">
        <v>5</v>
      </c>
      <c r="E175" s="193">
        <v>0.13</v>
      </c>
      <c r="F175" s="193">
        <v>253.4</v>
      </c>
      <c r="G175" s="194">
        <f t="shared" si="10"/>
        <v>32.942</v>
      </c>
    </row>
    <row r="176" spans="1:8" ht="15" x14ac:dyDescent="0.25">
      <c r="A176" s="191" t="s">
        <v>326</v>
      </c>
      <c r="B176" s="176">
        <v>94963</v>
      </c>
      <c r="C176" s="192" t="s">
        <v>342</v>
      </c>
      <c r="D176" s="175" t="s">
        <v>5</v>
      </c>
      <c r="E176" s="193">
        <v>7.0000000000000007E-2</v>
      </c>
      <c r="F176" s="192">
        <v>277.85000000000002</v>
      </c>
      <c r="G176" s="194">
        <f t="shared" si="10"/>
        <v>19.449500000000004</v>
      </c>
    </row>
    <row r="177" spans="1:7" ht="15" x14ac:dyDescent="0.25">
      <c r="A177" s="191" t="s">
        <v>326</v>
      </c>
      <c r="B177" s="176" t="s">
        <v>87</v>
      </c>
      <c r="C177" s="192" t="s">
        <v>332</v>
      </c>
      <c r="D177" s="175" t="s">
        <v>5</v>
      </c>
      <c r="E177" s="193">
        <v>0.19</v>
      </c>
      <c r="F177" s="192">
        <v>109.19</v>
      </c>
      <c r="G177" s="194">
        <f t="shared" si="10"/>
        <v>20.746099999999998</v>
      </c>
    </row>
    <row r="178" spans="1:7" ht="30" x14ac:dyDescent="0.2">
      <c r="A178" s="195" t="s">
        <v>326</v>
      </c>
      <c r="B178" s="177">
        <v>96531</v>
      </c>
      <c r="C178" s="196" t="s">
        <v>176</v>
      </c>
      <c r="D178" s="175" t="s">
        <v>6</v>
      </c>
      <c r="E178" s="193">
        <v>0.33</v>
      </c>
      <c r="F178" s="192">
        <v>74.75</v>
      </c>
      <c r="G178" s="194">
        <f t="shared" si="10"/>
        <v>24.6675</v>
      </c>
    </row>
    <row r="179" spans="1:7" ht="15" x14ac:dyDescent="0.25">
      <c r="A179" s="191" t="s">
        <v>326</v>
      </c>
      <c r="B179" s="176" t="s">
        <v>3</v>
      </c>
      <c r="C179" s="192" t="s">
        <v>343</v>
      </c>
      <c r="D179" s="175" t="s">
        <v>4</v>
      </c>
      <c r="E179" s="193">
        <v>3.9</v>
      </c>
      <c r="F179" s="192">
        <v>6.29</v>
      </c>
      <c r="G179" s="194">
        <f t="shared" si="10"/>
        <v>24.530999999999999</v>
      </c>
    </row>
    <row r="180" spans="1:7" ht="15" x14ac:dyDescent="0.25">
      <c r="A180" s="191" t="s">
        <v>326</v>
      </c>
      <c r="B180" s="176">
        <v>87335</v>
      </c>
      <c r="C180" s="192" t="s">
        <v>359</v>
      </c>
      <c r="D180" s="175" t="s">
        <v>5</v>
      </c>
      <c r="E180" s="193">
        <v>0.11</v>
      </c>
      <c r="F180" s="193">
        <v>338.96</v>
      </c>
      <c r="G180" s="194">
        <f t="shared" si="10"/>
        <v>37.285599999999995</v>
      </c>
    </row>
    <row r="181" spans="1:7" ht="15" x14ac:dyDescent="0.25">
      <c r="A181" s="195"/>
      <c r="B181" s="183">
        <v>7258</v>
      </c>
      <c r="C181" s="219" t="s">
        <v>358</v>
      </c>
      <c r="D181" s="175" t="s">
        <v>7</v>
      </c>
      <c r="E181" s="212">
        <v>312</v>
      </c>
      <c r="F181" s="193">
        <v>0.33</v>
      </c>
      <c r="G181" s="194">
        <f t="shared" si="10"/>
        <v>102.96000000000001</v>
      </c>
    </row>
    <row r="182" spans="1:7" ht="15" x14ac:dyDescent="0.25">
      <c r="A182" s="195" t="s">
        <v>335</v>
      </c>
      <c r="B182" s="184">
        <v>11245</v>
      </c>
      <c r="C182" s="219" t="s">
        <v>353</v>
      </c>
      <c r="D182" s="175" t="s">
        <v>7</v>
      </c>
      <c r="E182" s="220">
        <v>1</v>
      </c>
      <c r="F182" s="212">
        <v>215.81</v>
      </c>
      <c r="G182" s="194">
        <f t="shared" si="10"/>
        <v>215.81</v>
      </c>
    </row>
    <row r="183" spans="1:7" ht="15" x14ac:dyDescent="0.25">
      <c r="A183" s="365" t="s">
        <v>333</v>
      </c>
      <c r="B183" s="366"/>
      <c r="C183" s="367"/>
      <c r="D183" s="367"/>
      <c r="E183" s="368">
        <f>SUM(G173:G182)</f>
        <v>1719.6736999999998</v>
      </c>
      <c r="F183" s="369"/>
      <c r="G183" s="370"/>
    </row>
    <row r="184" spans="1:7" ht="15" x14ac:dyDescent="0.25">
      <c r="A184" s="189" t="s">
        <v>334</v>
      </c>
      <c r="B184" s="432" t="s">
        <v>446</v>
      </c>
      <c r="C184" s="433"/>
      <c r="D184" s="433"/>
      <c r="E184" s="433"/>
      <c r="F184" s="433"/>
      <c r="G184" s="434"/>
    </row>
    <row r="185" spans="1:7" ht="42.75" customHeight="1" x14ac:dyDescent="0.2">
      <c r="A185" s="279" t="s">
        <v>360</v>
      </c>
      <c r="B185" s="377" t="s">
        <v>507</v>
      </c>
      <c r="C185" s="418"/>
      <c r="D185" s="418"/>
      <c r="E185" s="418"/>
      <c r="F185" s="418"/>
      <c r="G185" s="418"/>
    </row>
    <row r="186" spans="1:7" ht="13.5" thickBot="1" x14ac:dyDescent="0.25">
      <c r="A186" s="200"/>
      <c r="B186" s="200"/>
      <c r="C186" s="200"/>
      <c r="D186" s="200"/>
      <c r="E186" s="200"/>
      <c r="F186" s="200"/>
      <c r="G186" s="200"/>
    </row>
    <row r="187" spans="1:7" ht="31.5" x14ac:dyDescent="0.25">
      <c r="A187" s="185"/>
      <c r="B187" s="362" t="s">
        <v>351</v>
      </c>
      <c r="C187" s="363"/>
      <c r="D187" s="363"/>
      <c r="E187" s="363"/>
      <c r="F187" s="364"/>
      <c r="G187" s="186" t="s">
        <v>340</v>
      </c>
    </row>
    <row r="188" spans="1:7" ht="15" x14ac:dyDescent="0.25">
      <c r="A188" s="187" t="s">
        <v>321</v>
      </c>
      <c r="B188" s="188" t="s">
        <v>93</v>
      </c>
      <c r="C188" s="189" t="s">
        <v>322</v>
      </c>
      <c r="D188" s="188" t="s">
        <v>323</v>
      </c>
      <c r="E188" s="188" t="s">
        <v>96</v>
      </c>
      <c r="F188" s="188" t="s">
        <v>324</v>
      </c>
      <c r="G188" s="190" t="s">
        <v>325</v>
      </c>
    </row>
    <row r="189" spans="1:7" ht="15" x14ac:dyDescent="0.25">
      <c r="A189" s="191" t="s">
        <v>326</v>
      </c>
      <c r="B189" s="175">
        <v>88309</v>
      </c>
      <c r="C189" s="219" t="s">
        <v>327</v>
      </c>
      <c r="D189" s="175" t="s">
        <v>328</v>
      </c>
      <c r="E189" s="212">
        <f>ROUND(E205*1.5,2)</f>
        <v>11.69</v>
      </c>
      <c r="F189" s="192">
        <v>21.74</v>
      </c>
      <c r="G189" s="194">
        <f>F189*E189</f>
        <v>254.14059999999998</v>
      </c>
    </row>
    <row r="190" spans="1:7" ht="15" x14ac:dyDescent="0.25">
      <c r="A190" s="191" t="s">
        <v>326</v>
      </c>
      <c r="B190" s="176">
        <v>88316</v>
      </c>
      <c r="C190" s="192" t="s">
        <v>329</v>
      </c>
      <c r="D190" s="175" t="s">
        <v>328</v>
      </c>
      <c r="E190" s="212">
        <f>ROUND(E206*1.5,2)</f>
        <v>41.76</v>
      </c>
      <c r="F190" s="192">
        <v>16.21</v>
      </c>
      <c r="G190" s="194">
        <f t="shared" ref="G190:G198" si="11">F190*E190</f>
        <v>676.92960000000005</v>
      </c>
    </row>
    <row r="191" spans="1:7" ht="25.5" x14ac:dyDescent="0.2">
      <c r="A191" s="195" t="s">
        <v>326</v>
      </c>
      <c r="B191" s="183">
        <v>94962</v>
      </c>
      <c r="C191" s="219" t="s">
        <v>341</v>
      </c>
      <c r="D191" s="175" t="s">
        <v>5</v>
      </c>
      <c r="E191" s="193">
        <v>0.1</v>
      </c>
      <c r="F191" s="193">
        <v>253.4</v>
      </c>
      <c r="G191" s="194">
        <f t="shared" si="11"/>
        <v>25.340000000000003</v>
      </c>
    </row>
    <row r="192" spans="1:7" ht="15" x14ac:dyDescent="0.25">
      <c r="A192" s="191" t="s">
        <v>326</v>
      </c>
      <c r="B192" s="176">
        <v>94963</v>
      </c>
      <c r="C192" s="192" t="s">
        <v>342</v>
      </c>
      <c r="D192" s="175" t="s">
        <v>5</v>
      </c>
      <c r="E192" s="193">
        <v>0.04</v>
      </c>
      <c r="F192" s="192">
        <v>277.85000000000002</v>
      </c>
      <c r="G192" s="194">
        <f t="shared" si="11"/>
        <v>11.114000000000001</v>
      </c>
    </row>
    <row r="193" spans="1:7" ht="15" x14ac:dyDescent="0.25">
      <c r="A193" s="191" t="s">
        <v>326</v>
      </c>
      <c r="B193" s="176" t="s">
        <v>87</v>
      </c>
      <c r="C193" s="192" t="s">
        <v>332</v>
      </c>
      <c r="D193" s="175" t="s">
        <v>5</v>
      </c>
      <c r="E193" s="193">
        <v>0.14000000000000001</v>
      </c>
      <c r="F193" s="192">
        <v>109.18</v>
      </c>
      <c r="G193" s="194">
        <f t="shared" si="11"/>
        <v>15.285200000000003</v>
      </c>
    </row>
    <row r="194" spans="1:7" ht="30" x14ac:dyDescent="0.2">
      <c r="A194" s="195" t="s">
        <v>326</v>
      </c>
      <c r="B194" s="177">
        <v>96531</v>
      </c>
      <c r="C194" s="196" t="s">
        <v>176</v>
      </c>
      <c r="D194" s="175" t="s">
        <v>6</v>
      </c>
      <c r="E194" s="193">
        <v>0.28000000000000003</v>
      </c>
      <c r="F194" s="192">
        <v>74.75</v>
      </c>
      <c r="G194" s="194">
        <f t="shared" si="11"/>
        <v>20.930000000000003</v>
      </c>
    </row>
    <row r="195" spans="1:7" ht="15" x14ac:dyDescent="0.25">
      <c r="A195" s="191" t="s">
        <v>326</v>
      </c>
      <c r="B195" s="176" t="s">
        <v>3</v>
      </c>
      <c r="C195" s="192" t="s">
        <v>343</v>
      </c>
      <c r="D195" s="175" t="s">
        <v>4</v>
      </c>
      <c r="E195" s="193">
        <v>2.48</v>
      </c>
      <c r="F195" s="192">
        <v>6.29</v>
      </c>
      <c r="G195" s="194">
        <f t="shared" si="11"/>
        <v>15.5992</v>
      </c>
    </row>
    <row r="196" spans="1:7" ht="15" x14ac:dyDescent="0.25">
      <c r="A196" s="191" t="s">
        <v>326</v>
      </c>
      <c r="B196" s="176">
        <v>87335</v>
      </c>
      <c r="C196" s="192" t="s">
        <v>344</v>
      </c>
      <c r="D196" s="175" t="s">
        <v>5</v>
      </c>
      <c r="E196" s="193">
        <v>0.09</v>
      </c>
      <c r="F196" s="193">
        <v>338.96</v>
      </c>
      <c r="G196" s="194">
        <f t="shared" si="11"/>
        <v>30.506399999999996</v>
      </c>
    </row>
    <row r="197" spans="1:7" ht="15" x14ac:dyDescent="0.25">
      <c r="A197" s="195"/>
      <c r="B197" s="183">
        <v>7258</v>
      </c>
      <c r="C197" s="219" t="s">
        <v>358</v>
      </c>
      <c r="D197" s="175" t="s">
        <v>7</v>
      </c>
      <c r="E197" s="212">
        <v>259</v>
      </c>
      <c r="F197" s="193">
        <v>0.33</v>
      </c>
      <c r="G197" s="194">
        <f t="shared" si="11"/>
        <v>85.47</v>
      </c>
    </row>
    <row r="198" spans="1:7" ht="15" x14ac:dyDescent="0.25">
      <c r="A198" s="195" t="s">
        <v>335</v>
      </c>
      <c r="B198" s="184">
        <v>11245</v>
      </c>
      <c r="C198" s="219" t="s">
        <v>353</v>
      </c>
      <c r="D198" s="175" t="s">
        <v>7</v>
      </c>
      <c r="E198" s="220">
        <v>1</v>
      </c>
      <c r="F198" s="212">
        <v>215.81</v>
      </c>
      <c r="G198" s="194">
        <f t="shared" si="11"/>
        <v>215.81</v>
      </c>
    </row>
    <row r="199" spans="1:7" ht="15" x14ac:dyDescent="0.25">
      <c r="A199" s="386" t="s">
        <v>333</v>
      </c>
      <c r="B199" s="387"/>
      <c r="C199" s="388"/>
      <c r="D199" s="388"/>
      <c r="E199" s="389">
        <f>SUM(G189:G198)</f>
        <v>1351.125</v>
      </c>
      <c r="F199" s="390"/>
      <c r="G199" s="391"/>
    </row>
    <row r="200" spans="1:7" ht="15" x14ac:dyDescent="0.25">
      <c r="A200" s="124" t="s">
        <v>334</v>
      </c>
      <c r="B200" s="280" t="s">
        <v>446</v>
      </c>
      <c r="C200" s="281"/>
      <c r="D200" s="281"/>
      <c r="E200" s="281"/>
      <c r="F200" s="281"/>
      <c r="G200" s="282"/>
    </row>
    <row r="201" spans="1:7" ht="39.75" customHeight="1" x14ac:dyDescent="0.2">
      <c r="A201" s="283" t="s">
        <v>360</v>
      </c>
      <c r="B201" s="425" t="s">
        <v>508</v>
      </c>
      <c r="C201" s="426"/>
      <c r="D201" s="426"/>
      <c r="E201" s="426"/>
      <c r="F201" s="426"/>
      <c r="G201" s="426"/>
    </row>
    <row r="202" spans="1:7" ht="13.5" thickBot="1" x14ac:dyDescent="0.25">
      <c r="A202" s="126"/>
      <c r="B202" s="126"/>
      <c r="C202" s="126"/>
      <c r="D202" s="126"/>
      <c r="E202" s="126"/>
      <c r="F202" s="126"/>
      <c r="G202" s="126"/>
    </row>
    <row r="203" spans="1:7" ht="31.5" x14ac:dyDescent="0.25">
      <c r="A203" s="128"/>
      <c r="B203" s="414" t="s">
        <v>352</v>
      </c>
      <c r="C203" s="415"/>
      <c r="D203" s="415"/>
      <c r="E203" s="415"/>
      <c r="F203" s="416"/>
      <c r="G203" s="127" t="s">
        <v>340</v>
      </c>
    </row>
    <row r="204" spans="1:7" ht="15" x14ac:dyDescent="0.25">
      <c r="A204" s="122" t="s">
        <v>321</v>
      </c>
      <c r="B204" s="123" t="s">
        <v>93</v>
      </c>
      <c r="C204" s="124" t="s">
        <v>322</v>
      </c>
      <c r="D204" s="123" t="s">
        <v>323</v>
      </c>
      <c r="E204" s="123" t="s">
        <v>96</v>
      </c>
      <c r="F204" s="123" t="s">
        <v>324</v>
      </c>
      <c r="G204" s="125" t="s">
        <v>325</v>
      </c>
    </row>
    <row r="205" spans="1:7" ht="15" x14ac:dyDescent="0.25">
      <c r="A205" s="113" t="s">
        <v>326</v>
      </c>
      <c r="B205" s="175">
        <v>88309</v>
      </c>
      <c r="C205" s="115" t="s">
        <v>327</v>
      </c>
      <c r="D205" s="114" t="s">
        <v>328</v>
      </c>
      <c r="E205" s="116">
        <v>7.79</v>
      </c>
      <c r="F205" s="117">
        <v>21.74</v>
      </c>
      <c r="G205" s="118">
        <f>F205*E205</f>
        <v>169.35459999999998</v>
      </c>
    </row>
    <row r="206" spans="1:7" ht="15" x14ac:dyDescent="0.25">
      <c r="A206" s="113" t="s">
        <v>326</v>
      </c>
      <c r="B206" s="176">
        <v>88316</v>
      </c>
      <c r="C206" s="117" t="s">
        <v>329</v>
      </c>
      <c r="D206" s="114" t="s">
        <v>328</v>
      </c>
      <c r="E206" s="119">
        <v>27.84</v>
      </c>
      <c r="F206" s="117">
        <v>16.21</v>
      </c>
      <c r="G206" s="118">
        <f t="shared" ref="G206:G214" si="12">F206*E206</f>
        <v>451.28640000000001</v>
      </c>
    </row>
    <row r="207" spans="1:7" ht="25.5" x14ac:dyDescent="0.2">
      <c r="A207" s="120" t="s">
        <v>326</v>
      </c>
      <c r="B207" s="183">
        <v>94962</v>
      </c>
      <c r="C207" s="115" t="s">
        <v>341</v>
      </c>
      <c r="D207" s="114" t="s">
        <v>5</v>
      </c>
      <c r="E207" s="119">
        <v>7.0000000000000007E-2</v>
      </c>
      <c r="F207" s="119">
        <v>253.4</v>
      </c>
      <c r="G207" s="118">
        <f t="shared" si="12"/>
        <v>17.738000000000003</v>
      </c>
    </row>
    <row r="208" spans="1:7" ht="15" x14ac:dyDescent="0.25">
      <c r="A208" s="113" t="s">
        <v>326</v>
      </c>
      <c r="B208" s="176">
        <v>94963</v>
      </c>
      <c r="C208" s="117" t="s">
        <v>342</v>
      </c>
      <c r="D208" s="114" t="s">
        <v>5</v>
      </c>
      <c r="E208" s="119">
        <v>0.02</v>
      </c>
      <c r="F208" s="117">
        <v>277.85000000000002</v>
      </c>
      <c r="G208" s="118">
        <f t="shared" si="12"/>
        <v>5.5570000000000004</v>
      </c>
    </row>
    <row r="209" spans="1:7" ht="15" x14ac:dyDescent="0.25">
      <c r="A209" s="113" t="s">
        <v>326</v>
      </c>
      <c r="B209" s="176" t="s">
        <v>87</v>
      </c>
      <c r="C209" s="117" t="s">
        <v>332</v>
      </c>
      <c r="D209" s="114" t="s">
        <v>5</v>
      </c>
      <c r="E209" s="119">
        <v>0.09</v>
      </c>
      <c r="F209" s="117">
        <v>109.18</v>
      </c>
      <c r="G209" s="118">
        <f t="shared" si="12"/>
        <v>9.8262</v>
      </c>
    </row>
    <row r="210" spans="1:7" ht="30" x14ac:dyDescent="0.2">
      <c r="A210" s="120" t="s">
        <v>326</v>
      </c>
      <c r="B210" s="177">
        <v>96531</v>
      </c>
      <c r="C210" s="121" t="s">
        <v>176</v>
      </c>
      <c r="D210" s="114" t="s">
        <v>6</v>
      </c>
      <c r="E210" s="119">
        <v>0.24</v>
      </c>
      <c r="F210" s="117">
        <v>74.75</v>
      </c>
      <c r="G210" s="118">
        <f t="shared" si="12"/>
        <v>17.939999999999998</v>
      </c>
    </row>
    <row r="211" spans="1:7" ht="15" x14ac:dyDescent="0.25">
      <c r="A211" s="113" t="s">
        <v>326</v>
      </c>
      <c r="B211" s="176" t="s">
        <v>3</v>
      </c>
      <c r="C211" s="117" t="s">
        <v>343</v>
      </c>
      <c r="D211" s="114" t="s">
        <v>4</v>
      </c>
      <c r="E211" s="119">
        <v>1.06</v>
      </c>
      <c r="F211" s="117">
        <v>6.29</v>
      </c>
      <c r="G211" s="118">
        <f t="shared" si="12"/>
        <v>6.6674000000000007</v>
      </c>
    </row>
    <row r="212" spans="1:7" ht="15" x14ac:dyDescent="0.25">
      <c r="A212" s="113" t="s">
        <v>326</v>
      </c>
      <c r="B212" s="176">
        <v>87335</v>
      </c>
      <c r="C212" s="117" t="s">
        <v>359</v>
      </c>
      <c r="D212" s="114" t="s">
        <v>5</v>
      </c>
      <c r="E212" s="119">
        <v>0.09</v>
      </c>
      <c r="F212" s="119">
        <v>338.96</v>
      </c>
      <c r="G212" s="118">
        <f t="shared" si="12"/>
        <v>30.506399999999996</v>
      </c>
    </row>
    <row r="213" spans="1:7" ht="15" x14ac:dyDescent="0.25">
      <c r="A213" s="120" t="s">
        <v>335</v>
      </c>
      <c r="B213" s="183">
        <v>7258</v>
      </c>
      <c r="C213" s="115" t="s">
        <v>358</v>
      </c>
      <c r="D213" s="114" t="s">
        <v>7</v>
      </c>
      <c r="E213" s="116">
        <v>235</v>
      </c>
      <c r="F213" s="119">
        <v>0.33</v>
      </c>
      <c r="G213" s="118">
        <f t="shared" si="12"/>
        <v>77.55</v>
      </c>
    </row>
    <row r="214" spans="1:7" ht="15" x14ac:dyDescent="0.25">
      <c r="A214" s="120" t="s">
        <v>335</v>
      </c>
      <c r="B214" s="184">
        <v>11245</v>
      </c>
      <c r="C214" s="115" t="s">
        <v>353</v>
      </c>
      <c r="D214" s="114" t="s">
        <v>7</v>
      </c>
      <c r="E214" s="129">
        <v>1</v>
      </c>
      <c r="F214" s="116">
        <v>215.81</v>
      </c>
      <c r="G214" s="118">
        <f t="shared" si="12"/>
        <v>215.81</v>
      </c>
    </row>
    <row r="215" spans="1:7" ht="15" x14ac:dyDescent="0.25">
      <c r="A215" s="386" t="s">
        <v>333</v>
      </c>
      <c r="B215" s="387"/>
      <c r="C215" s="388"/>
      <c r="D215" s="388"/>
      <c r="E215" s="389">
        <f>SUM(G205:G214)</f>
        <v>1002.2359999999999</v>
      </c>
      <c r="F215" s="390"/>
      <c r="G215" s="391"/>
    </row>
    <row r="216" spans="1:7" ht="15" x14ac:dyDescent="0.25">
      <c r="A216" s="124" t="s">
        <v>334</v>
      </c>
      <c r="B216" s="280" t="s">
        <v>446</v>
      </c>
      <c r="C216" s="281"/>
      <c r="D216" s="281"/>
      <c r="E216" s="281"/>
      <c r="F216" s="281"/>
      <c r="G216" s="282"/>
    </row>
    <row r="217" spans="1:7" ht="28.5" customHeight="1" x14ac:dyDescent="0.2">
      <c r="A217" s="283" t="s">
        <v>360</v>
      </c>
      <c r="B217" s="425" t="s">
        <v>509</v>
      </c>
      <c r="C217" s="426"/>
      <c r="D217" s="426"/>
      <c r="E217" s="426"/>
      <c r="F217" s="426"/>
      <c r="G217" s="426"/>
    </row>
    <row r="219" spans="1:7" ht="13.5" thickBot="1" x14ac:dyDescent="0.25"/>
    <row r="220" spans="1:7" x14ac:dyDescent="0.2">
      <c r="A220" s="419" t="s">
        <v>354</v>
      </c>
      <c r="B220" s="420"/>
      <c r="C220" s="420"/>
      <c r="D220" s="420"/>
      <c r="E220" s="420"/>
      <c r="F220" s="420"/>
      <c r="G220" s="421"/>
    </row>
    <row r="221" spans="1:7" ht="30" customHeight="1" thickBot="1" x14ac:dyDescent="0.25">
      <c r="A221" s="422"/>
      <c r="B221" s="423"/>
      <c r="C221" s="423"/>
      <c r="D221" s="423"/>
      <c r="E221" s="423"/>
      <c r="F221" s="423"/>
      <c r="G221" s="424"/>
    </row>
  </sheetData>
  <mergeCells count="72">
    <mergeCell ref="B29:F29"/>
    <mergeCell ref="A32:D32"/>
    <mergeCell ref="E32:G32"/>
    <mergeCell ref="C34:G34"/>
    <mergeCell ref="C33:G33"/>
    <mergeCell ref="B92:G92"/>
    <mergeCell ref="B187:F187"/>
    <mergeCell ref="A151:D151"/>
    <mergeCell ref="E151:G151"/>
    <mergeCell ref="B155:F155"/>
    <mergeCell ref="B185:G185"/>
    <mergeCell ref="B169:G169"/>
    <mergeCell ref="B153:G153"/>
    <mergeCell ref="A167:D167"/>
    <mergeCell ref="E167:G167"/>
    <mergeCell ref="B171:F171"/>
    <mergeCell ref="A183:D183"/>
    <mergeCell ref="B184:G184"/>
    <mergeCell ref="B74:F74"/>
    <mergeCell ref="A220:G221"/>
    <mergeCell ref="A199:D199"/>
    <mergeCell ref="E199:G199"/>
    <mergeCell ref="B203:F203"/>
    <mergeCell ref="A215:D215"/>
    <mergeCell ref="E215:G215"/>
    <mergeCell ref="B217:G217"/>
    <mergeCell ref="B201:G201"/>
    <mergeCell ref="B140:F140"/>
    <mergeCell ref="B138:G138"/>
    <mergeCell ref="B123:G123"/>
    <mergeCell ref="B125:F125"/>
    <mergeCell ref="A136:D136"/>
    <mergeCell ref="E136:G136"/>
    <mergeCell ref="C81:G81"/>
    <mergeCell ref="B2:F2"/>
    <mergeCell ref="A17:D17"/>
    <mergeCell ref="E183:G183"/>
    <mergeCell ref="B84:F84"/>
    <mergeCell ref="A91:D91"/>
    <mergeCell ref="E91:G91"/>
    <mergeCell ref="A121:D121"/>
    <mergeCell ref="E121:G121"/>
    <mergeCell ref="C93:G93"/>
    <mergeCell ref="B95:F95"/>
    <mergeCell ref="A106:D106"/>
    <mergeCell ref="E106:G106"/>
    <mergeCell ref="B110:F110"/>
    <mergeCell ref="B108:G108"/>
    <mergeCell ref="A80:D80"/>
    <mergeCell ref="E80:G80"/>
    <mergeCell ref="C72:G72"/>
    <mergeCell ref="A1:G1"/>
    <mergeCell ref="A54:D54"/>
    <mergeCell ref="E54:G54"/>
    <mergeCell ref="C55:G55"/>
    <mergeCell ref="A25:D25"/>
    <mergeCell ref="E25:G25"/>
    <mergeCell ref="C26:G26"/>
    <mergeCell ref="B35:G35"/>
    <mergeCell ref="B48:F48"/>
    <mergeCell ref="E17:G17"/>
    <mergeCell ref="C18:G18"/>
    <mergeCell ref="B22:F22"/>
    <mergeCell ref="C19:G19"/>
    <mergeCell ref="A70:D70"/>
    <mergeCell ref="E70:G70"/>
    <mergeCell ref="B57:F57"/>
    <mergeCell ref="B36:F36"/>
    <mergeCell ref="A44:D44"/>
    <mergeCell ref="E44:G44"/>
    <mergeCell ref="C45:G45"/>
    <mergeCell ref="B46:G46"/>
  </mergeCells>
  <pageMargins left="0.98425196850393704" right="0.51181102362204722" top="2.3622047244094491" bottom="0.78740157480314965" header="0.31496062992125984" footer="0.31496062992125984"/>
  <pageSetup paperSize="9" scale="58" orientation="portrait" r:id="rId1"/>
  <rowBreaks count="5" manualBreakCount="5">
    <brk id="34" max="6" man="1"/>
    <brk id="93" max="6" man="1"/>
    <brk id="123" max="6" man="1"/>
    <brk id="169" max="6" man="1"/>
    <brk id="20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view="pageBreakPreview" zoomScale="70" zoomScaleSheetLayoutView="70" workbookViewId="0">
      <selection activeCell="Q21" sqref="Q21"/>
    </sheetView>
  </sheetViews>
  <sheetFormatPr defaultRowHeight="12.75" x14ac:dyDescent="0.2"/>
  <cols>
    <col min="1" max="1" width="7.42578125" customWidth="1"/>
    <col min="2" max="2" width="52.5703125" customWidth="1"/>
    <col min="3" max="3" width="15" customWidth="1"/>
    <col min="4" max="4" width="13.5703125" customWidth="1"/>
    <col min="5" max="5" width="12.42578125" customWidth="1"/>
    <col min="6" max="6" width="10" bestFit="1" customWidth="1"/>
    <col min="7" max="7" width="13.85546875" bestFit="1" customWidth="1"/>
    <col min="8" max="8" width="10" bestFit="1" customWidth="1"/>
    <col min="9" max="9" width="14.42578125" bestFit="1" customWidth="1"/>
    <col min="10" max="10" width="11" bestFit="1" customWidth="1"/>
    <col min="11" max="11" width="14.42578125" bestFit="1" customWidth="1"/>
    <col min="12" max="12" width="9.42578125" bestFit="1" customWidth="1"/>
  </cols>
  <sheetData>
    <row r="1" spans="1:12" ht="15.75" x14ac:dyDescent="0.25">
      <c r="A1" s="441" t="s">
        <v>275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2" ht="15.75" x14ac:dyDescent="0.25">
      <c r="A2" s="70"/>
      <c r="B2" s="70"/>
      <c r="C2" s="70"/>
      <c r="D2" s="70"/>
      <c r="E2" s="70"/>
      <c r="F2" s="70"/>
      <c r="G2" s="70"/>
      <c r="H2" s="67"/>
      <c r="I2" s="67"/>
      <c r="J2" s="68"/>
      <c r="K2" s="69"/>
    </row>
    <row r="3" spans="1:12" x14ac:dyDescent="0.2">
      <c r="A3" s="71" t="s">
        <v>276</v>
      </c>
      <c r="B3" s="445" t="s">
        <v>403</v>
      </c>
      <c r="C3" s="445"/>
      <c r="D3" s="445"/>
      <c r="E3" s="445"/>
      <c r="F3" s="72"/>
      <c r="G3" s="72"/>
      <c r="H3" s="67"/>
      <c r="I3" s="67"/>
      <c r="J3" s="68"/>
      <c r="K3" s="69"/>
    </row>
    <row r="4" spans="1:12" x14ac:dyDescent="0.2">
      <c r="A4" s="71" t="s">
        <v>289</v>
      </c>
      <c r="B4" s="73" t="s">
        <v>314</v>
      </c>
      <c r="C4" s="71"/>
      <c r="D4" s="72" t="s">
        <v>404</v>
      </c>
      <c r="E4" s="72"/>
      <c r="F4" s="74"/>
      <c r="G4" s="75"/>
      <c r="H4" s="67"/>
      <c r="I4" s="67"/>
      <c r="J4" s="68"/>
      <c r="K4" s="69"/>
    </row>
    <row r="5" spans="1:12" x14ac:dyDescent="0.2">
      <c r="A5" s="71"/>
      <c r="B5" s="73"/>
      <c r="C5" s="71"/>
      <c r="D5" s="72"/>
      <c r="E5" s="72"/>
      <c r="F5" s="74"/>
      <c r="G5" s="75"/>
      <c r="H5" s="67"/>
      <c r="I5" s="67"/>
      <c r="J5" s="68"/>
      <c r="K5" s="69"/>
    </row>
    <row r="6" spans="1:12" ht="13.5" customHeight="1" x14ac:dyDescent="0.2">
      <c r="A6" s="444" t="s">
        <v>313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</row>
    <row r="7" spans="1:12" x14ac:dyDescent="0.2">
      <c r="A7" s="76" t="s">
        <v>91</v>
      </c>
      <c r="B7" s="76" t="s">
        <v>277</v>
      </c>
      <c r="C7" s="76" t="s">
        <v>278</v>
      </c>
      <c r="D7" s="76" t="s">
        <v>279</v>
      </c>
      <c r="E7" s="442" t="s">
        <v>280</v>
      </c>
      <c r="F7" s="443"/>
      <c r="G7" s="442" t="s">
        <v>292</v>
      </c>
      <c r="H7" s="443"/>
      <c r="I7" s="442" t="s">
        <v>298</v>
      </c>
      <c r="J7" s="443"/>
      <c r="K7" s="442" t="s">
        <v>283</v>
      </c>
      <c r="L7" s="443"/>
    </row>
    <row r="8" spans="1:12" x14ac:dyDescent="0.2">
      <c r="A8" s="93"/>
      <c r="B8" s="101"/>
      <c r="C8" s="93" t="s">
        <v>283</v>
      </c>
      <c r="D8" s="93"/>
      <c r="E8" s="93" t="s">
        <v>284</v>
      </c>
      <c r="F8" s="93" t="s">
        <v>279</v>
      </c>
      <c r="G8" s="93" t="s">
        <v>284</v>
      </c>
      <c r="H8" s="93" t="s">
        <v>279</v>
      </c>
      <c r="I8" s="93" t="s">
        <v>285</v>
      </c>
      <c r="J8" s="94" t="s">
        <v>279</v>
      </c>
      <c r="K8" s="93" t="s">
        <v>285</v>
      </c>
      <c r="L8" s="93" t="s">
        <v>279</v>
      </c>
    </row>
    <row r="9" spans="1:12" x14ac:dyDescent="0.2">
      <c r="A9" s="93">
        <v>0</v>
      </c>
      <c r="B9" s="101" t="str">
        <f>ORÇAMENTO!D10</f>
        <v>ADMINISTRAÇÃO LOCAL/PLACA DE OBRA</v>
      </c>
      <c r="C9" s="95">
        <f>ORÇAMENTO!J18</f>
        <v>188031.33999999997</v>
      </c>
      <c r="D9" s="94">
        <f>C9/C11</f>
        <v>1</v>
      </c>
      <c r="E9" s="95">
        <f>F9*C9</f>
        <v>150425.07199999999</v>
      </c>
      <c r="F9" s="94">
        <v>0.8</v>
      </c>
      <c r="G9" s="95">
        <f>H9*C9</f>
        <v>0</v>
      </c>
      <c r="H9" s="93">
        <v>0</v>
      </c>
      <c r="I9" s="95">
        <f>J9*C9</f>
        <v>37606.267999999996</v>
      </c>
      <c r="J9" s="94">
        <v>0.2</v>
      </c>
      <c r="K9" s="96">
        <f>E9+G9+I9</f>
        <v>188031.33999999997</v>
      </c>
      <c r="L9" s="97">
        <f>K9/C9</f>
        <v>1</v>
      </c>
    </row>
    <row r="10" spans="1:12" x14ac:dyDescent="0.2">
      <c r="A10" s="93"/>
      <c r="B10" s="101"/>
      <c r="C10" s="93"/>
      <c r="D10" s="93"/>
      <c r="E10" s="95">
        <f t="shared" ref="E10" si="0">F10*C10</f>
        <v>0</v>
      </c>
      <c r="F10" s="93"/>
      <c r="G10" s="95">
        <f t="shared" ref="G10" si="1">H10*C10</f>
        <v>0</v>
      </c>
      <c r="H10" s="93"/>
      <c r="I10" s="95">
        <f t="shared" ref="I10" si="2">J10*C10</f>
        <v>0</v>
      </c>
      <c r="J10" s="94"/>
      <c r="K10" s="95"/>
      <c r="L10" s="93"/>
    </row>
    <row r="11" spans="1:12" x14ac:dyDescent="0.2">
      <c r="A11" s="76"/>
      <c r="B11" s="102" t="s">
        <v>286</v>
      </c>
      <c r="C11" s="99">
        <f>SUM(C9:C10)</f>
        <v>188031.33999999997</v>
      </c>
      <c r="D11" s="100">
        <f>D9</f>
        <v>1</v>
      </c>
      <c r="E11" s="99"/>
      <c r="F11" s="76"/>
      <c r="G11" s="99"/>
      <c r="H11" s="76"/>
      <c r="I11" s="99"/>
      <c r="J11" s="77"/>
      <c r="K11" s="99">
        <f>K9</f>
        <v>188031.33999999997</v>
      </c>
      <c r="L11" s="100">
        <f>K11/C11</f>
        <v>1</v>
      </c>
    </row>
    <row r="12" spans="1:12" x14ac:dyDescent="0.2">
      <c r="A12" s="93"/>
      <c r="B12" s="101" t="s">
        <v>287</v>
      </c>
      <c r="C12" s="93"/>
      <c r="D12" s="93"/>
      <c r="E12" s="95">
        <f>SUM(E9:E11)</f>
        <v>150425.07199999999</v>
      </c>
      <c r="F12" s="94">
        <f>E12/C11</f>
        <v>0.8</v>
      </c>
      <c r="G12" s="95">
        <f>SUM(G9:G11)</f>
        <v>0</v>
      </c>
      <c r="H12" s="94">
        <f>G12/C11</f>
        <v>0</v>
      </c>
      <c r="I12" s="95">
        <f>SUM(I9:I11)</f>
        <v>37606.267999999996</v>
      </c>
      <c r="J12" s="94">
        <f>I12/C11</f>
        <v>0.2</v>
      </c>
      <c r="K12" s="93"/>
      <c r="L12" s="93"/>
    </row>
    <row r="13" spans="1:12" x14ac:dyDescent="0.2">
      <c r="A13" s="76"/>
      <c r="B13" s="102" t="s">
        <v>288</v>
      </c>
      <c r="C13" s="76"/>
      <c r="D13" s="76"/>
      <c r="E13" s="99">
        <f>E12</f>
        <v>150425.07199999999</v>
      </c>
      <c r="F13" s="77">
        <f>F12</f>
        <v>0.8</v>
      </c>
      <c r="G13" s="99">
        <f t="shared" ref="G13" si="3">G12+E13</f>
        <v>150425.07199999999</v>
      </c>
      <c r="H13" s="77">
        <f t="shared" ref="H13" si="4">H12+F13</f>
        <v>0.8</v>
      </c>
      <c r="I13" s="99">
        <f t="shared" ref="I13" si="5">I12+G13</f>
        <v>188031.33999999997</v>
      </c>
      <c r="J13" s="77">
        <f>J12+H13</f>
        <v>1</v>
      </c>
      <c r="K13" s="76"/>
      <c r="L13" s="76"/>
    </row>
    <row r="14" spans="1:12" x14ac:dyDescent="0.2">
      <c r="A14" s="71"/>
      <c r="B14" s="73"/>
      <c r="C14" s="71"/>
      <c r="D14" s="72"/>
      <c r="E14" s="72"/>
      <c r="F14" s="72"/>
      <c r="G14" s="72"/>
      <c r="H14" s="67"/>
      <c r="I14" s="67"/>
      <c r="J14" s="68"/>
      <c r="K14" s="69"/>
    </row>
    <row r="15" spans="1:12" ht="13.5" customHeight="1" x14ac:dyDescent="0.2">
      <c r="A15" s="444" t="s">
        <v>299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</row>
    <row r="16" spans="1:12" x14ac:dyDescent="0.2">
      <c r="A16" s="76" t="s">
        <v>91</v>
      </c>
      <c r="B16" s="76" t="s">
        <v>277</v>
      </c>
      <c r="C16" s="76" t="s">
        <v>278</v>
      </c>
      <c r="D16" s="76" t="s">
        <v>279</v>
      </c>
      <c r="E16" s="442" t="s">
        <v>280</v>
      </c>
      <c r="F16" s="443"/>
      <c r="G16" s="442" t="s">
        <v>281</v>
      </c>
      <c r="H16" s="443"/>
      <c r="I16" s="442" t="s">
        <v>282</v>
      </c>
      <c r="J16" s="443"/>
      <c r="K16" s="442" t="s">
        <v>283</v>
      </c>
      <c r="L16" s="443"/>
    </row>
    <row r="17" spans="1:12" x14ac:dyDescent="0.2">
      <c r="A17" s="93"/>
      <c r="B17" s="101"/>
      <c r="C17" s="93" t="s">
        <v>283</v>
      </c>
      <c r="D17" s="93"/>
      <c r="E17" s="93" t="s">
        <v>284</v>
      </c>
      <c r="F17" s="93" t="s">
        <v>279</v>
      </c>
      <c r="G17" s="93" t="s">
        <v>284</v>
      </c>
      <c r="H17" s="93" t="s">
        <v>279</v>
      </c>
      <c r="I17" s="93" t="s">
        <v>285</v>
      </c>
      <c r="J17" s="94" t="s">
        <v>279</v>
      </c>
      <c r="K17" s="93" t="s">
        <v>285</v>
      </c>
      <c r="L17" s="93" t="s">
        <v>279</v>
      </c>
    </row>
    <row r="18" spans="1:12" x14ac:dyDescent="0.2">
      <c r="A18" s="93">
        <v>1</v>
      </c>
      <c r="B18" s="101" t="str">
        <f>ORÇAMENTO!D56</f>
        <v>SERVIÇOS INICIAIS</v>
      </c>
      <c r="C18" s="95">
        <f>ORÇAMENTO!J59</f>
        <v>1945.1</v>
      </c>
      <c r="D18" s="94">
        <f>C18/C30</f>
        <v>2.6910705020626374E-3</v>
      </c>
      <c r="E18" s="95">
        <f>F18*C18</f>
        <v>1945.1</v>
      </c>
      <c r="F18" s="94">
        <v>1</v>
      </c>
      <c r="G18" s="95">
        <f>H18*C18</f>
        <v>0</v>
      </c>
      <c r="H18" s="93"/>
      <c r="I18" s="95">
        <f>J18*C18</f>
        <v>0</v>
      </c>
      <c r="J18" s="94"/>
      <c r="K18" s="96">
        <f>E18+G18+I18</f>
        <v>1945.1</v>
      </c>
      <c r="L18" s="97">
        <f t="shared" ref="L18" si="6">K18/C18</f>
        <v>1</v>
      </c>
    </row>
    <row r="19" spans="1:12" x14ac:dyDescent="0.2">
      <c r="A19" s="93"/>
      <c r="B19" s="101"/>
      <c r="C19" s="93"/>
      <c r="D19" s="93"/>
      <c r="E19" s="95">
        <f t="shared" ref="E19:E29" si="7">F19*C19</f>
        <v>0</v>
      </c>
      <c r="F19" s="93"/>
      <c r="G19" s="95">
        <f t="shared" ref="G19:G29" si="8">H19*C19</f>
        <v>0</v>
      </c>
      <c r="H19" s="93"/>
      <c r="I19" s="95">
        <f t="shared" ref="I19:I29" si="9">J19*C19</f>
        <v>0</v>
      </c>
      <c r="J19" s="94"/>
      <c r="K19" s="95"/>
      <c r="L19" s="97"/>
    </row>
    <row r="20" spans="1:12" x14ac:dyDescent="0.2">
      <c r="A20" s="93">
        <v>2</v>
      </c>
      <c r="B20" s="101" t="str">
        <f>ORÇAMENTO!D68</f>
        <v>OBRAS DE ARTE CORRENTE E DRENAGEM</v>
      </c>
      <c r="C20" s="95">
        <f>ORÇAMENTO!J112</f>
        <v>266564.02</v>
      </c>
      <c r="D20" s="94">
        <f>C20/C30</f>
        <v>0.36879470008392112</v>
      </c>
      <c r="E20" s="95">
        <f t="shared" si="7"/>
        <v>266564.02</v>
      </c>
      <c r="F20" s="94">
        <v>1</v>
      </c>
      <c r="G20" s="95">
        <f t="shared" si="8"/>
        <v>0</v>
      </c>
      <c r="H20" s="94"/>
      <c r="I20" s="95">
        <f t="shared" si="9"/>
        <v>0</v>
      </c>
      <c r="J20" s="94"/>
      <c r="K20" s="96">
        <f>E20+G20+I20</f>
        <v>266564.02</v>
      </c>
      <c r="L20" s="97">
        <f>K20/C20</f>
        <v>1</v>
      </c>
    </row>
    <row r="21" spans="1:12" x14ac:dyDescent="0.2">
      <c r="A21" s="93"/>
      <c r="B21" s="101"/>
      <c r="C21" s="93"/>
      <c r="D21" s="93"/>
      <c r="E21" s="95">
        <f t="shared" si="7"/>
        <v>0</v>
      </c>
      <c r="F21" s="93"/>
      <c r="G21" s="95">
        <f t="shared" si="8"/>
        <v>0</v>
      </c>
      <c r="H21" s="93"/>
      <c r="I21" s="95">
        <f t="shared" si="9"/>
        <v>0</v>
      </c>
      <c r="J21" s="94"/>
      <c r="K21" s="95"/>
      <c r="L21" s="93"/>
    </row>
    <row r="22" spans="1:12" x14ac:dyDescent="0.2">
      <c r="A22" s="93"/>
      <c r="B22" s="101" t="s">
        <v>300</v>
      </c>
      <c r="C22" s="95"/>
      <c r="D22" s="94"/>
      <c r="E22" s="95">
        <f t="shared" ref="E22:E23" si="10">F22*C22</f>
        <v>0</v>
      </c>
      <c r="F22" s="94">
        <v>1</v>
      </c>
      <c r="G22" s="95">
        <f t="shared" ref="G22:G23" si="11">H22*C22</f>
        <v>0</v>
      </c>
      <c r="H22" s="94"/>
      <c r="I22" s="95">
        <f t="shared" ref="I22:I23" si="12">J22*C22</f>
        <v>0</v>
      </c>
      <c r="J22" s="94"/>
      <c r="K22" s="96">
        <f>E22+G22+I22</f>
        <v>0</v>
      </c>
      <c r="L22" s="97">
        <f>F22</f>
        <v>1</v>
      </c>
    </row>
    <row r="23" spans="1:12" x14ac:dyDescent="0.2">
      <c r="A23" s="93"/>
      <c r="B23" s="101" t="s">
        <v>301</v>
      </c>
      <c r="C23" s="93"/>
      <c r="D23" s="93"/>
      <c r="E23" s="95">
        <f t="shared" si="10"/>
        <v>0</v>
      </c>
      <c r="F23" s="93"/>
      <c r="G23" s="95">
        <f t="shared" si="11"/>
        <v>0</v>
      </c>
      <c r="H23" s="93"/>
      <c r="I23" s="95">
        <f t="shared" si="12"/>
        <v>0</v>
      </c>
      <c r="J23" s="94"/>
      <c r="K23" s="95"/>
      <c r="L23" s="93"/>
    </row>
    <row r="24" spans="1:12" x14ac:dyDescent="0.2">
      <c r="A24" s="93">
        <v>3</v>
      </c>
      <c r="B24" s="101" t="str">
        <f>ORÇAMENTO!D114</f>
        <v>PAVIMENTAÇÃO</v>
      </c>
      <c r="C24" s="95">
        <f>ORÇAMENTO!J129</f>
        <v>259381.63</v>
      </c>
      <c r="D24" s="94">
        <f>C24/C30</f>
        <v>0.35885777248980788</v>
      </c>
      <c r="E24" s="95">
        <f t="shared" si="7"/>
        <v>0</v>
      </c>
      <c r="F24" s="94"/>
      <c r="G24" s="95">
        <f t="shared" si="8"/>
        <v>259381.63</v>
      </c>
      <c r="H24" s="94">
        <v>1</v>
      </c>
      <c r="I24" s="95">
        <f t="shared" si="9"/>
        <v>0</v>
      </c>
      <c r="J24" s="94"/>
      <c r="K24" s="96">
        <f>E24+G24+I24</f>
        <v>259381.63</v>
      </c>
      <c r="L24" s="97">
        <f>K24/C24</f>
        <v>1</v>
      </c>
    </row>
    <row r="25" spans="1:12" x14ac:dyDescent="0.2">
      <c r="A25" s="93"/>
      <c r="B25" s="101"/>
      <c r="C25" s="93"/>
      <c r="D25" s="93"/>
      <c r="E25" s="95">
        <f t="shared" si="7"/>
        <v>0</v>
      </c>
      <c r="F25" s="93"/>
      <c r="G25" s="95">
        <f t="shared" si="8"/>
        <v>0</v>
      </c>
      <c r="H25" s="93"/>
      <c r="I25" s="95">
        <f t="shared" si="9"/>
        <v>0</v>
      </c>
      <c r="J25" s="94"/>
      <c r="K25" s="95"/>
      <c r="L25" s="93"/>
    </row>
    <row r="26" spans="1:12" x14ac:dyDescent="0.2">
      <c r="A26" s="93">
        <v>4</v>
      </c>
      <c r="B26" s="101" t="str">
        <f>ORÇAMENTO!D131</f>
        <v>OBRAS COMPLEMENTARES E PASSEIOS COM ACESSIBILIDADE</v>
      </c>
      <c r="C26" s="95">
        <f>ORÇAMENTO!J148</f>
        <v>125226.34</v>
      </c>
      <c r="D26" s="94">
        <f>C26/C30</f>
        <v>0.17325222849995708</v>
      </c>
      <c r="E26" s="95">
        <f t="shared" si="7"/>
        <v>0</v>
      </c>
      <c r="F26" s="94"/>
      <c r="G26" s="95">
        <f t="shared" si="8"/>
        <v>50090.536</v>
      </c>
      <c r="H26" s="94">
        <v>0.4</v>
      </c>
      <c r="I26" s="95">
        <f t="shared" si="9"/>
        <v>75135.803999999989</v>
      </c>
      <c r="J26" s="94">
        <v>0.6</v>
      </c>
      <c r="K26" s="96">
        <f>E26+G26+I26</f>
        <v>125226.34</v>
      </c>
      <c r="L26" s="97">
        <f>K26/C26</f>
        <v>1</v>
      </c>
    </row>
    <row r="27" spans="1:12" x14ac:dyDescent="0.2">
      <c r="A27" s="93"/>
      <c r="B27" s="101"/>
      <c r="C27" s="93"/>
      <c r="D27" s="93"/>
      <c r="E27" s="95">
        <f t="shared" si="7"/>
        <v>0</v>
      </c>
      <c r="F27" s="93"/>
      <c r="G27" s="95">
        <f t="shared" si="8"/>
        <v>0</v>
      </c>
      <c r="H27" s="93"/>
      <c r="I27" s="95">
        <f t="shared" si="9"/>
        <v>0</v>
      </c>
      <c r="J27" s="94"/>
      <c r="K27" s="95"/>
      <c r="L27" s="93"/>
    </row>
    <row r="28" spans="1:12" x14ac:dyDescent="0.2">
      <c r="A28" s="93">
        <v>5</v>
      </c>
      <c r="B28" s="101" t="str">
        <f>ORÇAMENTO!D150</f>
        <v>SINALIZAÇÃO E ELEMENTOS DE SEGURANÇA</v>
      </c>
      <c r="C28" s="95">
        <f>ORÇAMENTO!J167</f>
        <v>69680.76999999999</v>
      </c>
      <c r="D28" s="94">
        <f>C28/C30</f>
        <v>9.6404228424251268E-2</v>
      </c>
      <c r="E28" s="95">
        <f t="shared" si="7"/>
        <v>0</v>
      </c>
      <c r="F28" s="94"/>
      <c r="G28" s="95">
        <f t="shared" si="8"/>
        <v>0</v>
      </c>
      <c r="H28" s="94"/>
      <c r="I28" s="95">
        <f t="shared" si="9"/>
        <v>69680.76999999999</v>
      </c>
      <c r="J28" s="94">
        <v>1</v>
      </c>
      <c r="K28" s="96">
        <f>E28+G28+I28</f>
        <v>69680.76999999999</v>
      </c>
      <c r="L28" s="97">
        <f>K28/C28</f>
        <v>1</v>
      </c>
    </row>
    <row r="29" spans="1:12" x14ac:dyDescent="0.2">
      <c r="A29" s="93"/>
      <c r="B29" s="101"/>
      <c r="C29" s="93"/>
      <c r="D29" s="93"/>
      <c r="E29" s="95">
        <f t="shared" si="7"/>
        <v>0</v>
      </c>
      <c r="F29" s="93"/>
      <c r="G29" s="95">
        <f t="shared" si="8"/>
        <v>0</v>
      </c>
      <c r="H29" s="93"/>
      <c r="I29" s="95">
        <f t="shared" si="9"/>
        <v>0</v>
      </c>
      <c r="J29" s="94"/>
      <c r="K29" s="95"/>
      <c r="L29" s="93"/>
    </row>
    <row r="30" spans="1:12" x14ac:dyDescent="0.2">
      <c r="A30" s="76"/>
      <c r="B30" s="102" t="s">
        <v>286</v>
      </c>
      <c r="C30" s="99">
        <f>SUM(C18:C29)</f>
        <v>722797.86</v>
      </c>
      <c r="D30" s="100">
        <f>D18+D20+D24+D26+D28</f>
        <v>1</v>
      </c>
      <c r="E30" s="99"/>
      <c r="F30" s="76"/>
      <c r="G30" s="99"/>
      <c r="H30" s="76"/>
      <c r="I30" s="99"/>
      <c r="J30" s="77"/>
      <c r="K30" s="99">
        <f>K28+K26+K24+K20+K18</f>
        <v>722797.86</v>
      </c>
      <c r="L30" s="100">
        <f>K30/C30</f>
        <v>1</v>
      </c>
    </row>
    <row r="31" spans="1:12" x14ac:dyDescent="0.2">
      <c r="A31" s="93"/>
      <c r="B31" s="101" t="s">
        <v>287</v>
      </c>
      <c r="C31" s="93"/>
      <c r="D31" s="93"/>
      <c r="E31" s="95">
        <f>SUM(E18:E30)</f>
        <v>268509.12</v>
      </c>
      <c r="F31" s="94">
        <f>E31/C30</f>
        <v>0.37148577058598375</v>
      </c>
      <c r="G31" s="95">
        <f>SUM(G18:G30)</f>
        <v>309472.16600000003</v>
      </c>
      <c r="H31" s="94">
        <f>G31/C30</f>
        <v>0.42815866388979074</v>
      </c>
      <c r="I31" s="95">
        <f>SUM(I18:I30)</f>
        <v>144816.57399999996</v>
      </c>
      <c r="J31" s="94">
        <f>I31/C30</f>
        <v>0.20035556552422551</v>
      </c>
      <c r="K31" s="93"/>
      <c r="L31" s="93"/>
    </row>
    <row r="32" spans="1:12" x14ac:dyDescent="0.2">
      <c r="A32" s="76"/>
      <c r="B32" s="102" t="s">
        <v>288</v>
      </c>
      <c r="C32" s="76"/>
      <c r="D32" s="76"/>
      <c r="E32" s="99">
        <f>E31</f>
        <v>268509.12</v>
      </c>
      <c r="F32" s="77">
        <f>F31</f>
        <v>0.37148577058598375</v>
      </c>
      <c r="G32" s="99">
        <f t="shared" ref="G32:I32" si="13">G31+E32</f>
        <v>577981.28600000008</v>
      </c>
      <c r="H32" s="77">
        <f t="shared" si="13"/>
        <v>0.79964443447577449</v>
      </c>
      <c r="I32" s="99">
        <f t="shared" si="13"/>
        <v>722797.8600000001</v>
      </c>
      <c r="J32" s="77">
        <f>J31+H32</f>
        <v>1</v>
      </c>
      <c r="K32" s="76"/>
      <c r="L32" s="76"/>
    </row>
    <row r="33" spans="1:12" x14ac:dyDescent="0.2">
      <c r="A33" s="84"/>
      <c r="B33" s="104"/>
      <c r="C33" s="84"/>
      <c r="D33" s="84"/>
      <c r="E33" s="105"/>
      <c r="F33" s="85"/>
      <c r="G33" s="105"/>
      <c r="H33" s="85"/>
      <c r="I33" s="105"/>
      <c r="J33" s="85"/>
      <c r="K33" s="84"/>
      <c r="L33" s="84"/>
    </row>
    <row r="34" spans="1:12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1:12" x14ac:dyDescent="0.2">
      <c r="A35" s="444" t="s">
        <v>356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</row>
    <row r="36" spans="1:12" x14ac:dyDescent="0.2">
      <c r="A36" s="76" t="s">
        <v>91</v>
      </c>
      <c r="B36" s="76" t="s">
        <v>277</v>
      </c>
      <c r="C36" s="76" t="s">
        <v>278</v>
      </c>
      <c r="D36" s="76" t="s">
        <v>279</v>
      </c>
      <c r="E36" s="442" t="s">
        <v>290</v>
      </c>
      <c r="F36" s="443"/>
      <c r="G36" s="442" t="s">
        <v>291</v>
      </c>
      <c r="H36" s="443"/>
      <c r="I36" s="442" t="s">
        <v>292</v>
      </c>
      <c r="J36" s="443"/>
      <c r="K36" s="442" t="s">
        <v>283</v>
      </c>
      <c r="L36" s="443"/>
    </row>
    <row r="37" spans="1:12" x14ac:dyDescent="0.2">
      <c r="A37" s="93"/>
      <c r="B37" s="93"/>
      <c r="C37" s="93" t="s">
        <v>283</v>
      </c>
      <c r="D37" s="93"/>
      <c r="E37" s="93" t="s">
        <v>284</v>
      </c>
      <c r="F37" s="93" t="s">
        <v>279</v>
      </c>
      <c r="G37" s="93" t="s">
        <v>284</v>
      </c>
      <c r="H37" s="93" t="s">
        <v>279</v>
      </c>
      <c r="I37" s="93" t="s">
        <v>285</v>
      </c>
      <c r="J37" s="94" t="s">
        <v>279</v>
      </c>
      <c r="K37" s="93" t="s">
        <v>285</v>
      </c>
      <c r="L37" s="93" t="s">
        <v>279</v>
      </c>
    </row>
    <row r="38" spans="1:12" x14ac:dyDescent="0.2">
      <c r="A38" s="93">
        <v>1</v>
      </c>
      <c r="B38" s="101" t="str">
        <f>ORÇAMENTO!D178</f>
        <v>SERVIÇOS INICIAIS</v>
      </c>
      <c r="C38" s="95">
        <f>ORÇAMENTO!J181</f>
        <v>1374.72</v>
      </c>
      <c r="D38" s="94">
        <f>C38/C50</f>
        <v>2.6278878867237185E-3</v>
      </c>
      <c r="E38" s="95">
        <f>F38*C38</f>
        <v>1374.72</v>
      </c>
      <c r="F38" s="94">
        <v>1</v>
      </c>
      <c r="G38" s="95">
        <f>H38*C38</f>
        <v>0</v>
      </c>
      <c r="H38" s="93"/>
      <c r="I38" s="95">
        <f>J38*C38</f>
        <v>0</v>
      </c>
      <c r="J38" s="94"/>
      <c r="K38" s="96">
        <f>E38+G38+I38</f>
        <v>1374.72</v>
      </c>
      <c r="L38" s="97">
        <f>K38/C38</f>
        <v>1</v>
      </c>
    </row>
    <row r="39" spans="1:12" x14ac:dyDescent="0.2">
      <c r="A39" s="93"/>
      <c r="B39" s="101"/>
      <c r="C39" s="93"/>
      <c r="D39" s="93"/>
      <c r="E39" s="95">
        <f t="shared" ref="E39:E49" si="14">F39*C39</f>
        <v>0</v>
      </c>
      <c r="F39" s="93"/>
      <c r="G39" s="95">
        <f t="shared" ref="G39:G49" si="15">H39*C39</f>
        <v>0</v>
      </c>
      <c r="H39" s="93"/>
      <c r="I39" s="95">
        <f t="shared" ref="I39:I49" si="16">J39*C39</f>
        <v>0</v>
      </c>
      <c r="J39" s="94"/>
      <c r="K39" s="95"/>
      <c r="L39" s="93"/>
    </row>
    <row r="40" spans="1:12" x14ac:dyDescent="0.2">
      <c r="A40" s="93">
        <v>2</v>
      </c>
      <c r="B40" s="101" t="str">
        <f>ORÇAMENTO!D190</f>
        <v>OBRAS DE ARTE CORRENTE E DRENAGEM</v>
      </c>
      <c r="C40" s="95">
        <f>ORÇAMENTO!J232</f>
        <v>105209.84</v>
      </c>
      <c r="D40" s="94">
        <f>C40/C50</f>
        <v>0.20111707409519067</v>
      </c>
      <c r="E40" s="95">
        <f t="shared" si="14"/>
        <v>105209.84</v>
      </c>
      <c r="F40" s="94">
        <v>1</v>
      </c>
      <c r="G40" s="95">
        <f t="shared" si="15"/>
        <v>0</v>
      </c>
      <c r="H40" s="94"/>
      <c r="I40" s="95">
        <f t="shared" si="16"/>
        <v>0</v>
      </c>
      <c r="J40" s="94"/>
      <c r="K40" s="96">
        <f>E40+G40+I40</f>
        <v>105209.84</v>
      </c>
      <c r="L40" s="97">
        <f>K40/C40</f>
        <v>1</v>
      </c>
    </row>
    <row r="41" spans="1:12" x14ac:dyDescent="0.2">
      <c r="A41" s="93"/>
      <c r="B41" s="101"/>
      <c r="C41" s="93"/>
      <c r="D41" s="93"/>
      <c r="E41" s="95">
        <f t="shared" si="14"/>
        <v>0</v>
      </c>
      <c r="F41" s="93"/>
      <c r="G41" s="95">
        <f t="shared" si="15"/>
        <v>0</v>
      </c>
      <c r="H41" s="93"/>
      <c r="I41" s="95">
        <f t="shared" si="16"/>
        <v>0</v>
      </c>
      <c r="J41" s="94"/>
      <c r="K41" s="95"/>
      <c r="L41" s="93"/>
    </row>
    <row r="42" spans="1:12" x14ac:dyDescent="0.2">
      <c r="A42" s="93"/>
      <c r="B42" s="101" t="s">
        <v>300</v>
      </c>
      <c r="C42" s="95"/>
      <c r="D42" s="94"/>
      <c r="E42" s="95">
        <f t="shared" si="14"/>
        <v>0</v>
      </c>
      <c r="F42" s="94">
        <v>1</v>
      </c>
      <c r="G42" s="95">
        <f t="shared" si="15"/>
        <v>0</v>
      </c>
      <c r="H42" s="94"/>
      <c r="I42" s="95">
        <f t="shared" si="16"/>
        <v>0</v>
      </c>
      <c r="J42" s="94"/>
      <c r="K42" s="96">
        <f>E42+G42+I42</f>
        <v>0</v>
      </c>
      <c r="L42" s="97">
        <f>F42</f>
        <v>1</v>
      </c>
    </row>
    <row r="43" spans="1:12" x14ac:dyDescent="0.2">
      <c r="A43" s="93"/>
      <c r="B43" s="101" t="s">
        <v>301</v>
      </c>
      <c r="C43" s="93"/>
      <c r="D43" s="93"/>
      <c r="E43" s="95">
        <f t="shared" si="14"/>
        <v>0</v>
      </c>
      <c r="F43" s="93"/>
      <c r="G43" s="95">
        <f t="shared" si="15"/>
        <v>0</v>
      </c>
      <c r="H43" s="93"/>
      <c r="I43" s="95">
        <f t="shared" si="16"/>
        <v>0</v>
      </c>
      <c r="J43" s="94"/>
      <c r="K43" s="95"/>
      <c r="L43" s="93"/>
    </row>
    <row r="44" spans="1:12" x14ac:dyDescent="0.2">
      <c r="A44" s="93">
        <v>3</v>
      </c>
      <c r="B44" s="101" t="str">
        <f>ORÇAMENTO!D234</f>
        <v>PAVIMENTAÇÃO</v>
      </c>
      <c r="C44" s="95">
        <f>ORÇAMENTO!J249</f>
        <v>220747.3</v>
      </c>
      <c r="D44" s="94">
        <f>C44/C50</f>
        <v>0.42197622475628976</v>
      </c>
      <c r="E44" s="95">
        <f t="shared" si="14"/>
        <v>22074.73</v>
      </c>
      <c r="F44" s="94">
        <v>0.1</v>
      </c>
      <c r="G44" s="95">
        <f t="shared" si="15"/>
        <v>198672.57</v>
      </c>
      <c r="H44" s="94">
        <v>0.9</v>
      </c>
      <c r="I44" s="95">
        <f t="shared" si="16"/>
        <v>0</v>
      </c>
      <c r="J44" s="94"/>
      <c r="K44" s="96">
        <f>E44+G44+I44</f>
        <v>220747.30000000002</v>
      </c>
      <c r="L44" s="97">
        <f>K44/C44</f>
        <v>1.0000000000000002</v>
      </c>
    </row>
    <row r="45" spans="1:12" x14ac:dyDescent="0.2">
      <c r="A45" s="93"/>
      <c r="B45" s="101"/>
      <c r="C45" s="93"/>
      <c r="D45" s="93"/>
      <c r="E45" s="95">
        <f t="shared" si="14"/>
        <v>0</v>
      </c>
      <c r="F45" s="93"/>
      <c r="G45" s="95">
        <f t="shared" si="15"/>
        <v>0</v>
      </c>
      <c r="H45" s="93"/>
      <c r="I45" s="95">
        <f t="shared" si="16"/>
        <v>0</v>
      </c>
      <c r="J45" s="94"/>
      <c r="K45" s="95"/>
      <c r="L45" s="93"/>
    </row>
    <row r="46" spans="1:12" x14ac:dyDescent="0.2">
      <c r="A46" s="93">
        <v>4</v>
      </c>
      <c r="B46" s="101" t="str">
        <f>ORÇAMENTO!D251</f>
        <v>OBRAS COMPLEMENTARES E PASSEIOS COM ACESSIBILIDADE</v>
      </c>
      <c r="C46" s="95">
        <f>ORÇAMENTO!J268</f>
        <v>104736.95000000001</v>
      </c>
      <c r="D46" s="94">
        <f>C46/C50</f>
        <v>0.2002131068125784</v>
      </c>
      <c r="E46" s="95">
        <f t="shared" si="14"/>
        <v>0</v>
      </c>
      <c r="F46" s="94"/>
      <c r="G46" s="95">
        <f t="shared" si="15"/>
        <v>41894.780000000006</v>
      </c>
      <c r="H46" s="94">
        <v>0.4</v>
      </c>
      <c r="I46" s="95">
        <f t="shared" si="16"/>
        <v>62842.170000000006</v>
      </c>
      <c r="J46" s="94">
        <v>0.6</v>
      </c>
      <c r="K46" s="96">
        <f>E46+G46+I46</f>
        <v>104736.95000000001</v>
      </c>
      <c r="L46" s="97">
        <f>K46/C46</f>
        <v>1</v>
      </c>
    </row>
    <row r="47" spans="1:12" x14ac:dyDescent="0.2">
      <c r="A47" s="93"/>
      <c r="B47" s="101"/>
      <c r="C47" s="93"/>
      <c r="D47" s="93"/>
      <c r="E47" s="95">
        <f t="shared" si="14"/>
        <v>0</v>
      </c>
      <c r="F47" s="93"/>
      <c r="G47" s="95">
        <f t="shared" si="15"/>
        <v>0</v>
      </c>
      <c r="H47" s="98"/>
      <c r="I47" s="95">
        <f t="shared" si="16"/>
        <v>0</v>
      </c>
      <c r="J47" s="94"/>
      <c r="K47" s="95"/>
      <c r="L47" s="93"/>
    </row>
    <row r="48" spans="1:12" x14ac:dyDescent="0.2">
      <c r="A48" s="93">
        <v>5</v>
      </c>
      <c r="B48" s="101" t="str">
        <f>ORÇAMENTO!D270</f>
        <v>SINALIZAÇÃO E ELEMENTOS DE SEGURANÇA</v>
      </c>
      <c r="C48" s="95">
        <f>ORÇAMENTO!J289</f>
        <v>91058.53</v>
      </c>
      <c r="D48" s="94">
        <f>C48/C50</f>
        <v>0.17406570644921751</v>
      </c>
      <c r="E48" s="95">
        <f t="shared" si="14"/>
        <v>0</v>
      </c>
      <c r="F48" s="94"/>
      <c r="G48" s="95">
        <f t="shared" si="15"/>
        <v>0</v>
      </c>
      <c r="H48" s="94"/>
      <c r="I48" s="95">
        <f t="shared" si="16"/>
        <v>91058.53</v>
      </c>
      <c r="J48" s="94">
        <v>1</v>
      </c>
      <c r="K48" s="96">
        <f>E48+G48+I48</f>
        <v>91058.53</v>
      </c>
      <c r="L48" s="97">
        <f>K48/C48</f>
        <v>1</v>
      </c>
    </row>
    <row r="49" spans="1:12" x14ac:dyDescent="0.2">
      <c r="A49" s="93"/>
      <c r="B49" s="101"/>
      <c r="C49" s="93"/>
      <c r="D49" s="93"/>
      <c r="E49" s="95">
        <f t="shared" si="14"/>
        <v>0</v>
      </c>
      <c r="F49" s="93"/>
      <c r="G49" s="95">
        <f t="shared" si="15"/>
        <v>0</v>
      </c>
      <c r="H49" s="93"/>
      <c r="I49" s="95">
        <f t="shared" si="16"/>
        <v>0</v>
      </c>
      <c r="J49" s="94"/>
      <c r="K49" s="95"/>
      <c r="L49" s="93"/>
    </row>
    <row r="50" spans="1:12" x14ac:dyDescent="0.2">
      <c r="A50" s="76"/>
      <c r="B50" s="102" t="s">
        <v>286</v>
      </c>
      <c r="C50" s="99">
        <f>SUM(C38:C49)</f>
        <v>523127.33999999997</v>
      </c>
      <c r="D50" s="100">
        <f>D38+D40+D44+D46+D48</f>
        <v>1.0000000000000002</v>
      </c>
      <c r="E50" s="99"/>
      <c r="F50" s="76"/>
      <c r="G50" s="99"/>
      <c r="H50" s="76"/>
      <c r="I50" s="99"/>
      <c r="J50" s="77"/>
      <c r="K50" s="99">
        <f>K48+K46+K44+K40+K38</f>
        <v>523127.33999999997</v>
      </c>
      <c r="L50" s="100">
        <f>K50/C50</f>
        <v>1</v>
      </c>
    </row>
    <row r="51" spans="1:12" x14ac:dyDescent="0.2">
      <c r="A51" s="93"/>
      <c r="B51" s="101" t="s">
        <v>287</v>
      </c>
      <c r="C51" s="93"/>
      <c r="D51" s="93"/>
      <c r="E51" s="95">
        <f>SUM(E38:E50)</f>
        <v>128659.29</v>
      </c>
      <c r="F51" s="94">
        <f>E51/C50</f>
        <v>0.24594258445754336</v>
      </c>
      <c r="G51" s="95">
        <f>SUM(G38:G50)</f>
        <v>240567.35</v>
      </c>
      <c r="H51" s="94">
        <f>G51/C50</f>
        <v>0.45986384500569216</v>
      </c>
      <c r="I51" s="95">
        <f>SUM(I38:I50)</f>
        <v>153900.70000000001</v>
      </c>
      <c r="J51" s="94">
        <f>I51/C50</f>
        <v>0.29419357053676459</v>
      </c>
      <c r="K51" s="93"/>
      <c r="L51" s="93"/>
    </row>
    <row r="52" spans="1:12" x14ac:dyDescent="0.2">
      <c r="A52" s="76"/>
      <c r="B52" s="102" t="s">
        <v>288</v>
      </c>
      <c r="C52" s="76"/>
      <c r="D52" s="76"/>
      <c r="E52" s="99">
        <f>E51</f>
        <v>128659.29</v>
      </c>
      <c r="F52" s="77">
        <f>F51</f>
        <v>0.24594258445754336</v>
      </c>
      <c r="G52" s="99">
        <f t="shared" ref="G52" si="17">G51+E52</f>
        <v>369226.64</v>
      </c>
      <c r="H52" s="77">
        <f t="shared" ref="H52" si="18">H51+F52</f>
        <v>0.70580642946323557</v>
      </c>
      <c r="I52" s="99">
        <f t="shared" ref="I52" si="19">I51+G52</f>
        <v>523127.34</v>
      </c>
      <c r="J52" s="77">
        <f>J51+H52</f>
        <v>1.0000000000000002</v>
      </c>
      <c r="K52" s="76"/>
      <c r="L52" s="76"/>
    </row>
    <row r="53" spans="1:12" hidden="1" x14ac:dyDescent="0.2">
      <c r="A53" s="444" t="s">
        <v>302</v>
      </c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</row>
    <row r="54" spans="1:12" hidden="1" x14ac:dyDescent="0.2">
      <c r="A54" s="93"/>
      <c r="B54" s="93"/>
      <c r="C54" s="93" t="s">
        <v>283</v>
      </c>
      <c r="D54" s="93"/>
      <c r="E54" s="93" t="s">
        <v>284</v>
      </c>
      <c r="F54" s="93" t="s">
        <v>279</v>
      </c>
      <c r="G54" s="93" t="s">
        <v>284</v>
      </c>
      <c r="H54" s="93" t="s">
        <v>279</v>
      </c>
      <c r="I54" s="93" t="s">
        <v>285</v>
      </c>
      <c r="J54" s="94" t="s">
        <v>279</v>
      </c>
      <c r="K54" s="93" t="s">
        <v>285</v>
      </c>
      <c r="L54" s="93" t="s">
        <v>279</v>
      </c>
    </row>
    <row r="55" spans="1:12" hidden="1" x14ac:dyDescent="0.2">
      <c r="A55" s="93">
        <v>1</v>
      </c>
      <c r="B55" s="101" t="e">
        <f>ORÇAMENTO!#REF!</f>
        <v>#REF!</v>
      </c>
      <c r="C55" s="95" t="e">
        <f>ORÇAMENTO!#REF!</f>
        <v>#REF!</v>
      </c>
      <c r="D55" s="94" t="e">
        <f>C55/C67</f>
        <v>#REF!</v>
      </c>
      <c r="E55" s="95" t="e">
        <f>F55*C55</f>
        <v>#REF!</v>
      </c>
      <c r="F55" s="94">
        <v>1</v>
      </c>
      <c r="G55" s="95" t="e">
        <f>H55*C55</f>
        <v>#REF!</v>
      </c>
      <c r="H55" s="93"/>
      <c r="I55" s="95" t="e">
        <f>J55*C55</f>
        <v>#REF!</v>
      </c>
      <c r="J55" s="94"/>
      <c r="K55" s="96" t="e">
        <f>E55+G55+I55</f>
        <v>#REF!</v>
      </c>
      <c r="L55" s="97" t="e">
        <f>K55/C55</f>
        <v>#REF!</v>
      </c>
    </row>
    <row r="56" spans="1:12" hidden="1" x14ac:dyDescent="0.2">
      <c r="A56" s="93"/>
      <c r="B56" s="101"/>
      <c r="C56" s="93"/>
      <c r="D56" s="93"/>
      <c r="E56" s="95">
        <f t="shared" ref="E56:E66" si="20">F56*C56</f>
        <v>0</v>
      </c>
      <c r="F56" s="93"/>
      <c r="G56" s="95">
        <f t="shared" ref="G56:G66" si="21">H56*C56</f>
        <v>0</v>
      </c>
      <c r="H56" s="93"/>
      <c r="I56" s="95">
        <f t="shared" ref="I56:I66" si="22">J56*C56</f>
        <v>0</v>
      </c>
      <c r="J56" s="94"/>
      <c r="K56" s="95"/>
      <c r="L56" s="93"/>
    </row>
    <row r="57" spans="1:12" hidden="1" x14ac:dyDescent="0.2">
      <c r="A57" s="93">
        <v>2</v>
      </c>
      <c r="B57" s="101" t="e">
        <f>ORÇAMENTO!#REF!</f>
        <v>#REF!</v>
      </c>
      <c r="C57" s="95" t="e">
        <f>ORÇAMENTO!#REF!</f>
        <v>#REF!</v>
      </c>
      <c r="D57" s="94" t="e">
        <f>C57/C67</f>
        <v>#REF!</v>
      </c>
      <c r="E57" s="95" t="e">
        <f t="shared" si="20"/>
        <v>#REF!</v>
      </c>
      <c r="F57" s="94">
        <v>1</v>
      </c>
      <c r="G57" s="95" t="e">
        <f t="shared" si="21"/>
        <v>#REF!</v>
      </c>
      <c r="H57" s="94"/>
      <c r="I57" s="95" t="e">
        <f t="shared" si="22"/>
        <v>#REF!</v>
      </c>
      <c r="J57" s="94"/>
      <c r="K57" s="96" t="e">
        <f>E57+G57+I57</f>
        <v>#REF!</v>
      </c>
      <c r="L57" s="97" t="e">
        <f>K57/C57</f>
        <v>#REF!</v>
      </c>
    </row>
    <row r="58" spans="1:12" hidden="1" x14ac:dyDescent="0.2">
      <c r="A58" s="93"/>
      <c r="B58" s="101"/>
      <c r="C58" s="93"/>
      <c r="D58" s="93"/>
      <c r="E58" s="95">
        <f t="shared" si="20"/>
        <v>0</v>
      </c>
      <c r="F58" s="93"/>
      <c r="G58" s="95">
        <f t="shared" si="21"/>
        <v>0</v>
      </c>
      <c r="H58" s="93"/>
      <c r="I58" s="95">
        <f t="shared" si="22"/>
        <v>0</v>
      </c>
      <c r="J58" s="94"/>
      <c r="K58" s="95"/>
      <c r="L58" s="93"/>
    </row>
    <row r="59" spans="1:12" hidden="1" x14ac:dyDescent="0.2">
      <c r="A59" s="93"/>
      <c r="B59" s="101" t="s">
        <v>300</v>
      </c>
      <c r="C59" s="95"/>
      <c r="D59" s="94"/>
      <c r="E59" s="95">
        <f t="shared" si="20"/>
        <v>0</v>
      </c>
      <c r="F59" s="94">
        <v>1</v>
      </c>
      <c r="G59" s="95">
        <f t="shared" si="21"/>
        <v>0</v>
      </c>
      <c r="H59" s="94"/>
      <c r="I59" s="95">
        <f t="shared" si="22"/>
        <v>0</v>
      </c>
      <c r="J59" s="94"/>
      <c r="K59" s="96">
        <f>E59+G59+I59</f>
        <v>0</v>
      </c>
      <c r="L59" s="97">
        <f>F59</f>
        <v>1</v>
      </c>
    </row>
    <row r="60" spans="1:12" hidden="1" x14ac:dyDescent="0.2">
      <c r="A60" s="93"/>
      <c r="B60" s="101" t="s">
        <v>301</v>
      </c>
      <c r="C60" s="93"/>
      <c r="D60" s="93"/>
      <c r="E60" s="95">
        <f t="shared" si="20"/>
        <v>0</v>
      </c>
      <c r="F60" s="93"/>
      <c r="G60" s="95">
        <f t="shared" si="21"/>
        <v>0</v>
      </c>
      <c r="H60" s="93"/>
      <c r="I60" s="95">
        <f t="shared" si="22"/>
        <v>0</v>
      </c>
      <c r="J60" s="94"/>
      <c r="K60" s="95"/>
      <c r="L60" s="93"/>
    </row>
    <row r="61" spans="1:12" hidden="1" x14ac:dyDescent="0.2">
      <c r="A61" s="93">
        <v>3</v>
      </c>
      <c r="B61" s="101" t="e">
        <f>ORÇAMENTO!#REF!</f>
        <v>#REF!</v>
      </c>
      <c r="C61" s="95" t="e">
        <f>ORÇAMENTO!#REF!</f>
        <v>#REF!</v>
      </c>
      <c r="D61" s="94" t="e">
        <f>C61/C67</f>
        <v>#REF!</v>
      </c>
      <c r="E61" s="95" t="e">
        <f t="shared" si="20"/>
        <v>#REF!</v>
      </c>
      <c r="F61" s="94">
        <v>0.1</v>
      </c>
      <c r="G61" s="95" t="e">
        <f t="shared" si="21"/>
        <v>#REF!</v>
      </c>
      <c r="H61" s="94">
        <v>0.9</v>
      </c>
      <c r="I61" s="95" t="e">
        <f t="shared" si="22"/>
        <v>#REF!</v>
      </c>
      <c r="J61" s="94"/>
      <c r="K61" s="96" t="e">
        <f>E61+G61+I61</f>
        <v>#REF!</v>
      </c>
      <c r="L61" s="97" t="e">
        <f>K61/C61</f>
        <v>#REF!</v>
      </c>
    </row>
    <row r="62" spans="1:12" hidden="1" x14ac:dyDescent="0.2">
      <c r="A62" s="93"/>
      <c r="B62" s="101"/>
      <c r="C62" s="93"/>
      <c r="D62" s="93"/>
      <c r="E62" s="95">
        <f t="shared" si="20"/>
        <v>0</v>
      </c>
      <c r="F62" s="93"/>
      <c r="G62" s="95">
        <f t="shared" si="21"/>
        <v>0</v>
      </c>
      <c r="H62" s="93"/>
      <c r="I62" s="95">
        <f t="shared" si="22"/>
        <v>0</v>
      </c>
      <c r="J62" s="94"/>
      <c r="K62" s="95"/>
      <c r="L62" s="93"/>
    </row>
    <row r="63" spans="1:12" hidden="1" x14ac:dyDescent="0.2">
      <c r="A63" s="93">
        <v>4</v>
      </c>
      <c r="B63" s="101" t="e">
        <f>ORÇAMENTO!#REF!</f>
        <v>#REF!</v>
      </c>
      <c r="C63" s="95" t="e">
        <f>ORÇAMENTO!#REF!</f>
        <v>#REF!</v>
      </c>
      <c r="D63" s="94" t="e">
        <f>C63/C67</f>
        <v>#REF!</v>
      </c>
      <c r="E63" s="95" t="e">
        <f t="shared" si="20"/>
        <v>#REF!</v>
      </c>
      <c r="F63" s="94"/>
      <c r="G63" s="95" t="e">
        <f t="shared" si="21"/>
        <v>#REF!</v>
      </c>
      <c r="H63" s="94">
        <v>0.4</v>
      </c>
      <c r="I63" s="95" t="e">
        <f t="shared" si="22"/>
        <v>#REF!</v>
      </c>
      <c r="J63" s="94">
        <v>0.6</v>
      </c>
      <c r="K63" s="96" t="e">
        <f>E63+G63+I63</f>
        <v>#REF!</v>
      </c>
      <c r="L63" s="97" t="e">
        <f>K63/C63</f>
        <v>#REF!</v>
      </c>
    </row>
    <row r="64" spans="1:12" hidden="1" x14ac:dyDescent="0.2">
      <c r="A64" s="93"/>
      <c r="B64" s="101"/>
      <c r="C64" s="93"/>
      <c r="D64" s="93"/>
      <c r="E64" s="95">
        <f t="shared" si="20"/>
        <v>0</v>
      </c>
      <c r="F64" s="93"/>
      <c r="G64" s="95">
        <f t="shared" si="21"/>
        <v>0</v>
      </c>
      <c r="H64" s="98"/>
      <c r="I64" s="95">
        <f t="shared" si="22"/>
        <v>0</v>
      </c>
      <c r="J64" s="94"/>
      <c r="K64" s="95"/>
      <c r="L64" s="93"/>
    </row>
    <row r="65" spans="1:12" hidden="1" x14ac:dyDescent="0.2">
      <c r="A65" s="93">
        <v>5</v>
      </c>
      <c r="B65" s="101" t="e">
        <f>ORÇAMENTO!#REF!</f>
        <v>#REF!</v>
      </c>
      <c r="C65" s="95" t="e">
        <f>ORÇAMENTO!#REF!</f>
        <v>#REF!</v>
      </c>
      <c r="D65" s="94" t="e">
        <f>C65/C67</f>
        <v>#REF!</v>
      </c>
      <c r="E65" s="95" t="e">
        <f t="shared" si="20"/>
        <v>#REF!</v>
      </c>
      <c r="F65" s="94"/>
      <c r="G65" s="95" t="e">
        <f t="shared" si="21"/>
        <v>#REF!</v>
      </c>
      <c r="H65" s="94"/>
      <c r="I65" s="95" t="e">
        <f t="shared" si="22"/>
        <v>#REF!</v>
      </c>
      <c r="J65" s="94">
        <v>1</v>
      </c>
      <c r="K65" s="96" t="e">
        <f>E65+G65+I65</f>
        <v>#REF!</v>
      </c>
      <c r="L65" s="97" t="e">
        <f>K65/C65</f>
        <v>#REF!</v>
      </c>
    </row>
    <row r="66" spans="1:12" hidden="1" x14ac:dyDescent="0.2">
      <c r="A66" s="93"/>
      <c r="B66" s="101"/>
      <c r="C66" s="93"/>
      <c r="D66" s="93"/>
      <c r="E66" s="95">
        <f t="shared" si="20"/>
        <v>0</v>
      </c>
      <c r="F66" s="93"/>
      <c r="G66" s="95">
        <f t="shared" si="21"/>
        <v>0</v>
      </c>
      <c r="H66" s="93"/>
      <c r="I66" s="95">
        <f t="shared" si="22"/>
        <v>0</v>
      </c>
      <c r="J66" s="94"/>
      <c r="K66" s="95"/>
      <c r="L66" s="93"/>
    </row>
    <row r="67" spans="1:12" hidden="1" x14ac:dyDescent="0.2">
      <c r="A67" s="76"/>
      <c r="B67" s="102" t="s">
        <v>286</v>
      </c>
      <c r="C67" s="99" t="e">
        <f>SUM(C55:C66)</f>
        <v>#REF!</v>
      </c>
      <c r="D67" s="100" t="e">
        <f>D55+D57+D61+D63+D65</f>
        <v>#REF!</v>
      </c>
      <c r="E67" s="99"/>
      <c r="F67" s="76"/>
      <c r="G67" s="99"/>
      <c r="H67" s="76"/>
      <c r="I67" s="99"/>
      <c r="J67" s="77"/>
      <c r="K67" s="99" t="e">
        <f>K65+K63+K61+K57+K55</f>
        <v>#REF!</v>
      </c>
      <c r="L67" s="100" t="e">
        <f>K67/C67</f>
        <v>#REF!</v>
      </c>
    </row>
    <row r="68" spans="1:12" hidden="1" x14ac:dyDescent="0.2">
      <c r="A68" s="93"/>
      <c r="B68" s="101" t="s">
        <v>287</v>
      </c>
      <c r="C68" s="93"/>
      <c r="D68" s="93"/>
      <c r="E68" s="95" t="e">
        <f>SUM(E55:E67)</f>
        <v>#REF!</v>
      </c>
      <c r="F68" s="94" t="e">
        <f>E68/C67</f>
        <v>#REF!</v>
      </c>
      <c r="G68" s="95" t="e">
        <f>SUM(G55:G67)</f>
        <v>#REF!</v>
      </c>
      <c r="H68" s="94" t="e">
        <f>G68/C67</f>
        <v>#REF!</v>
      </c>
      <c r="I68" s="95" t="e">
        <f>SUM(I55:I67)</f>
        <v>#REF!</v>
      </c>
      <c r="J68" s="94" t="e">
        <f>I68/C67</f>
        <v>#REF!</v>
      </c>
      <c r="K68" s="93"/>
      <c r="L68" s="93"/>
    </row>
    <row r="69" spans="1:12" hidden="1" x14ac:dyDescent="0.2">
      <c r="A69" s="76"/>
      <c r="B69" s="102" t="s">
        <v>288</v>
      </c>
      <c r="C69" s="76"/>
      <c r="D69" s="76"/>
      <c r="E69" s="99" t="e">
        <f>E68</f>
        <v>#REF!</v>
      </c>
      <c r="F69" s="77" t="e">
        <f>F68</f>
        <v>#REF!</v>
      </c>
      <c r="G69" s="99" t="e">
        <f t="shared" ref="G69" si="23">G68+E69</f>
        <v>#REF!</v>
      </c>
      <c r="H69" s="77" t="e">
        <f t="shared" ref="H69" si="24">H68+F69</f>
        <v>#REF!</v>
      </c>
      <c r="I69" s="99" t="e">
        <f t="shared" ref="I69" si="25">I68+G69</f>
        <v>#REF!</v>
      </c>
      <c r="J69" s="77" t="e">
        <f>J68+H69</f>
        <v>#REF!</v>
      </c>
      <c r="K69" s="76"/>
      <c r="L69" s="76"/>
    </row>
    <row r="70" spans="1:12" hidden="1" x14ac:dyDescent="0.2">
      <c r="A70" s="83"/>
      <c r="B70" s="83"/>
      <c r="C70" s="83"/>
      <c r="D70" s="83"/>
      <c r="E70" s="84"/>
      <c r="F70" s="84"/>
      <c r="G70" s="84"/>
      <c r="H70" s="84"/>
      <c r="I70" s="84"/>
      <c r="J70" s="85"/>
      <c r="K70" s="84"/>
      <c r="L70" s="83"/>
    </row>
    <row r="71" spans="1:12" hidden="1" x14ac:dyDescent="0.2">
      <c r="A71" s="83"/>
      <c r="B71" s="83"/>
      <c r="C71" s="83"/>
      <c r="D71" s="83"/>
      <c r="E71" s="84"/>
      <c r="F71" s="84"/>
      <c r="G71" s="84"/>
      <c r="H71" s="84"/>
      <c r="I71" s="84"/>
      <c r="J71" s="85"/>
      <c r="K71" s="84"/>
      <c r="L71" s="83"/>
    </row>
    <row r="72" spans="1:12" x14ac:dyDescent="0.2">
      <c r="A72" s="444" t="s">
        <v>357</v>
      </c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</row>
    <row r="73" spans="1:12" x14ac:dyDescent="0.2">
      <c r="A73" s="76" t="s">
        <v>91</v>
      </c>
      <c r="B73" s="76" t="s">
        <v>277</v>
      </c>
      <c r="C73" s="76" t="s">
        <v>278</v>
      </c>
      <c r="D73" s="76" t="s">
        <v>279</v>
      </c>
      <c r="E73" s="442" t="s">
        <v>293</v>
      </c>
      <c r="F73" s="443"/>
      <c r="G73" s="442" t="s">
        <v>294</v>
      </c>
      <c r="H73" s="443"/>
      <c r="I73" s="442" t="s">
        <v>295</v>
      </c>
      <c r="J73" s="443"/>
      <c r="K73" s="442" t="s">
        <v>283</v>
      </c>
      <c r="L73" s="443"/>
    </row>
    <row r="74" spans="1:12" x14ac:dyDescent="0.2">
      <c r="A74" s="93"/>
      <c r="B74" s="101"/>
      <c r="C74" s="93" t="s">
        <v>283</v>
      </c>
      <c r="D74" s="93"/>
      <c r="E74" s="93" t="s">
        <v>284</v>
      </c>
      <c r="F74" s="93" t="s">
        <v>279</v>
      </c>
      <c r="G74" s="93" t="s">
        <v>284</v>
      </c>
      <c r="H74" s="93" t="s">
        <v>279</v>
      </c>
      <c r="I74" s="93" t="s">
        <v>285</v>
      </c>
      <c r="J74" s="94" t="s">
        <v>279</v>
      </c>
      <c r="K74" s="93" t="s">
        <v>285</v>
      </c>
      <c r="L74" s="93" t="s">
        <v>279</v>
      </c>
    </row>
    <row r="75" spans="1:12" x14ac:dyDescent="0.2">
      <c r="A75" s="93">
        <v>1</v>
      </c>
      <c r="B75" s="101" t="str">
        <f>B38</f>
        <v>SERVIÇOS INICIAIS</v>
      </c>
      <c r="C75" s="95">
        <f>ORÇAMENTO!J298</f>
        <v>2605.9899999999998</v>
      </c>
      <c r="D75" s="94">
        <f>C75/C87</f>
        <v>2.2753510285948896E-3</v>
      </c>
      <c r="E75" s="95">
        <f>F75*C75</f>
        <v>2605.9899999999998</v>
      </c>
      <c r="F75" s="94">
        <v>1</v>
      </c>
      <c r="G75" s="95">
        <f>H75*C75</f>
        <v>0</v>
      </c>
      <c r="H75" s="93"/>
      <c r="I75" s="95">
        <f>J75*C75</f>
        <v>0</v>
      </c>
      <c r="J75" s="94"/>
      <c r="K75" s="96">
        <f>E75+G75+I75</f>
        <v>2605.9899999999998</v>
      </c>
      <c r="L75" s="97">
        <f>K75/C75</f>
        <v>1</v>
      </c>
    </row>
    <row r="76" spans="1:12" x14ac:dyDescent="0.2">
      <c r="A76" s="93"/>
      <c r="B76" s="101"/>
      <c r="C76" s="93"/>
      <c r="D76" s="93"/>
      <c r="E76" s="95">
        <f t="shared" ref="E76:E86" si="26">F76*C76</f>
        <v>0</v>
      </c>
      <c r="F76" s="93"/>
      <c r="G76" s="95">
        <f t="shared" ref="G76:G86" si="27">H76*C76</f>
        <v>0</v>
      </c>
      <c r="H76" s="93"/>
      <c r="I76" s="95">
        <f t="shared" ref="I76:I86" si="28">J76*C76</f>
        <v>0</v>
      </c>
      <c r="J76" s="94"/>
      <c r="K76" s="95"/>
      <c r="L76" s="93"/>
    </row>
    <row r="77" spans="1:12" x14ac:dyDescent="0.2">
      <c r="A77" s="93">
        <v>2</v>
      </c>
      <c r="B77" s="101" t="str">
        <f>B40</f>
        <v>OBRAS DE ARTE CORRENTE E DRENAGEM</v>
      </c>
      <c r="C77" s="95">
        <f>ORÇAMENTO!J363</f>
        <v>380195.29000000004</v>
      </c>
      <c r="D77" s="94">
        <f>C77/C87</f>
        <v>0.33195743044617687</v>
      </c>
      <c r="E77" s="95">
        <f t="shared" si="26"/>
        <v>380195.29000000004</v>
      </c>
      <c r="F77" s="94">
        <v>1</v>
      </c>
      <c r="G77" s="95">
        <f t="shared" si="27"/>
        <v>0</v>
      </c>
      <c r="H77" s="94"/>
      <c r="I77" s="95">
        <f t="shared" si="28"/>
        <v>0</v>
      </c>
      <c r="J77" s="94"/>
      <c r="K77" s="96">
        <f>E77+G77+I77</f>
        <v>380195.29000000004</v>
      </c>
      <c r="L77" s="97">
        <f>K77/C77</f>
        <v>1</v>
      </c>
    </row>
    <row r="78" spans="1:12" x14ac:dyDescent="0.2">
      <c r="A78" s="93"/>
      <c r="B78" s="101"/>
      <c r="C78" s="93"/>
      <c r="D78" s="93"/>
      <c r="E78" s="95">
        <f t="shared" si="26"/>
        <v>0</v>
      </c>
      <c r="F78" s="93"/>
      <c r="G78" s="95">
        <f t="shared" si="27"/>
        <v>0</v>
      </c>
      <c r="H78" s="93"/>
      <c r="I78" s="95">
        <f t="shared" si="28"/>
        <v>0</v>
      </c>
      <c r="J78" s="94"/>
      <c r="K78" s="95"/>
      <c r="L78" s="93"/>
    </row>
    <row r="79" spans="1:12" x14ac:dyDescent="0.2">
      <c r="A79" s="93"/>
      <c r="B79" s="106" t="s">
        <v>300</v>
      </c>
      <c r="C79" s="95"/>
      <c r="D79" s="94"/>
      <c r="E79" s="95">
        <f t="shared" si="26"/>
        <v>0</v>
      </c>
      <c r="F79" s="94">
        <v>1</v>
      </c>
      <c r="G79" s="95">
        <f t="shared" si="27"/>
        <v>0</v>
      </c>
      <c r="H79" s="94"/>
      <c r="I79" s="95">
        <f t="shared" si="28"/>
        <v>0</v>
      </c>
      <c r="J79" s="94"/>
      <c r="K79" s="96">
        <f>E79+G79+I79</f>
        <v>0</v>
      </c>
      <c r="L79" s="97">
        <f>F79</f>
        <v>1</v>
      </c>
    </row>
    <row r="80" spans="1:12" x14ac:dyDescent="0.2">
      <c r="A80" s="93"/>
      <c r="B80" s="106" t="s">
        <v>301</v>
      </c>
      <c r="C80" s="93"/>
      <c r="D80" s="93"/>
      <c r="E80" s="95">
        <f t="shared" si="26"/>
        <v>0</v>
      </c>
      <c r="F80" s="93"/>
      <c r="G80" s="95">
        <f t="shared" si="27"/>
        <v>0</v>
      </c>
      <c r="H80" s="93"/>
      <c r="I80" s="95">
        <f t="shared" si="28"/>
        <v>0</v>
      </c>
      <c r="J80" s="94"/>
      <c r="K80" s="95"/>
      <c r="L80" s="93"/>
    </row>
    <row r="81" spans="1:12" x14ac:dyDescent="0.2">
      <c r="A81" s="93">
        <v>3</v>
      </c>
      <c r="B81" s="101" t="str">
        <f>B44</f>
        <v>PAVIMENTAÇÃO</v>
      </c>
      <c r="C81" s="95">
        <f>ORÇAMENTO!J380</f>
        <v>408569.91</v>
      </c>
      <c r="D81" s="94">
        <f>C81/C87</f>
        <v>0.35673197708794796</v>
      </c>
      <c r="E81" s="95">
        <f t="shared" si="26"/>
        <v>40856.991000000002</v>
      </c>
      <c r="F81" s="94">
        <v>0.1</v>
      </c>
      <c r="G81" s="95">
        <f t="shared" si="27"/>
        <v>367712.91899999999</v>
      </c>
      <c r="H81" s="94">
        <v>0.9</v>
      </c>
      <c r="I81" s="95">
        <f t="shared" si="28"/>
        <v>0</v>
      </c>
      <c r="J81" s="94"/>
      <c r="K81" s="96">
        <f>E81+G81+I81</f>
        <v>408569.91</v>
      </c>
      <c r="L81" s="97">
        <f>K81/C81</f>
        <v>1</v>
      </c>
    </row>
    <row r="82" spans="1:12" x14ac:dyDescent="0.2">
      <c r="A82" s="93"/>
      <c r="B82" s="101"/>
      <c r="C82" s="93"/>
      <c r="D82" s="93"/>
      <c r="E82" s="95">
        <f t="shared" si="26"/>
        <v>0</v>
      </c>
      <c r="F82" s="93"/>
      <c r="G82" s="95">
        <f t="shared" si="27"/>
        <v>0</v>
      </c>
      <c r="H82" s="93"/>
      <c r="I82" s="95">
        <f t="shared" si="28"/>
        <v>0</v>
      </c>
      <c r="J82" s="94"/>
      <c r="K82" s="95"/>
      <c r="L82" s="93"/>
    </row>
    <row r="83" spans="1:12" ht="25.5" x14ac:dyDescent="0.2">
      <c r="A83" s="93">
        <v>4</v>
      </c>
      <c r="B83" s="106" t="str">
        <f>B46</f>
        <v>OBRAS COMPLEMENTARES E PASSEIOS COM ACESSIBILIDADE</v>
      </c>
      <c r="C83" s="95">
        <f>ORÇAMENTO!J399</f>
        <v>249772.13</v>
      </c>
      <c r="D83" s="94">
        <f>C83/C87</f>
        <v>0.21808190856827409</v>
      </c>
      <c r="E83" s="95">
        <f t="shared" si="26"/>
        <v>0</v>
      </c>
      <c r="F83" s="94"/>
      <c r="G83" s="95">
        <f t="shared" si="27"/>
        <v>99908.852000000014</v>
      </c>
      <c r="H83" s="94">
        <v>0.4</v>
      </c>
      <c r="I83" s="95">
        <f t="shared" si="28"/>
        <v>149863.27799999999</v>
      </c>
      <c r="J83" s="94">
        <v>0.6</v>
      </c>
      <c r="K83" s="96">
        <f>E83+G83+I83</f>
        <v>249772.13</v>
      </c>
      <c r="L83" s="97">
        <f>K83/C83</f>
        <v>1</v>
      </c>
    </row>
    <row r="84" spans="1:12" x14ac:dyDescent="0.2">
      <c r="A84" s="93"/>
      <c r="B84" s="101"/>
      <c r="C84" s="93"/>
      <c r="D84" s="93"/>
      <c r="E84" s="95">
        <f t="shared" si="26"/>
        <v>0</v>
      </c>
      <c r="F84" s="93"/>
      <c r="G84" s="95">
        <f t="shared" si="27"/>
        <v>0</v>
      </c>
      <c r="H84" s="98"/>
      <c r="I84" s="95">
        <f t="shared" si="28"/>
        <v>0</v>
      </c>
      <c r="J84" s="94"/>
      <c r="K84" s="95"/>
      <c r="L84" s="93"/>
    </row>
    <row r="85" spans="1:12" x14ac:dyDescent="0.2">
      <c r="A85" s="93">
        <v>5</v>
      </c>
      <c r="B85" s="101" t="str">
        <f>B48</f>
        <v>SINALIZAÇÃO E ELEMENTOS DE SEGURANÇA</v>
      </c>
      <c r="C85" s="95">
        <f>ORÇAMENTO!J419</f>
        <v>104170.07</v>
      </c>
      <c r="D85" s="94">
        <f>C85/C87</f>
        <v>9.0953332869006281E-2</v>
      </c>
      <c r="E85" s="95">
        <f t="shared" si="26"/>
        <v>0</v>
      </c>
      <c r="F85" s="94"/>
      <c r="G85" s="95">
        <f t="shared" si="27"/>
        <v>0</v>
      </c>
      <c r="H85" s="94"/>
      <c r="I85" s="95">
        <f t="shared" si="28"/>
        <v>104170.07</v>
      </c>
      <c r="J85" s="94">
        <v>1</v>
      </c>
      <c r="K85" s="96">
        <f>E85+G85+I85</f>
        <v>104170.07</v>
      </c>
      <c r="L85" s="97">
        <f>K85/C85</f>
        <v>1</v>
      </c>
    </row>
    <row r="86" spans="1:12" x14ac:dyDescent="0.2">
      <c r="A86" s="93"/>
      <c r="B86" s="101"/>
      <c r="C86" s="93"/>
      <c r="D86" s="93"/>
      <c r="E86" s="95">
        <f t="shared" si="26"/>
        <v>0</v>
      </c>
      <c r="F86" s="93"/>
      <c r="G86" s="95">
        <f t="shared" si="27"/>
        <v>0</v>
      </c>
      <c r="H86" s="93"/>
      <c r="I86" s="95">
        <f t="shared" si="28"/>
        <v>0</v>
      </c>
      <c r="J86" s="94"/>
      <c r="K86" s="95"/>
      <c r="L86" s="93"/>
    </row>
    <row r="87" spans="1:12" x14ac:dyDescent="0.2">
      <c r="A87" s="76"/>
      <c r="B87" s="102" t="s">
        <v>286</v>
      </c>
      <c r="C87" s="99">
        <f>SUM(C75:C86)</f>
        <v>1145313.3899999999</v>
      </c>
      <c r="D87" s="100">
        <f>D75+D77+D81+D83+D85</f>
        <v>1</v>
      </c>
      <c r="E87" s="99"/>
      <c r="F87" s="76"/>
      <c r="G87" s="99"/>
      <c r="H87" s="76"/>
      <c r="I87" s="99"/>
      <c r="J87" s="77"/>
      <c r="K87" s="99">
        <f>K85+K83+K81+K77+K75</f>
        <v>1145313.3899999999</v>
      </c>
      <c r="L87" s="100">
        <f>K87/C87</f>
        <v>1</v>
      </c>
    </row>
    <row r="88" spans="1:12" x14ac:dyDescent="0.2">
      <c r="A88" s="93"/>
      <c r="B88" s="101" t="s">
        <v>287</v>
      </c>
      <c r="C88" s="93"/>
      <c r="D88" s="93"/>
      <c r="E88" s="95">
        <f>SUM(E75:E87)</f>
        <v>423658.27100000001</v>
      </c>
      <c r="F88" s="94">
        <f>E88/C87</f>
        <v>0.36990597918356655</v>
      </c>
      <c r="G88" s="95">
        <f>SUM(G75:G87)</f>
        <v>467621.77100000001</v>
      </c>
      <c r="H88" s="94">
        <f>G88/C87</f>
        <v>0.40829154280646285</v>
      </c>
      <c r="I88" s="95">
        <f>SUM(I75:I87)</f>
        <v>254033.348</v>
      </c>
      <c r="J88" s="94">
        <f>I88/C87</f>
        <v>0.22180247800997072</v>
      </c>
      <c r="K88" s="93"/>
      <c r="L88" s="93"/>
    </row>
    <row r="89" spans="1:12" x14ac:dyDescent="0.2">
      <c r="A89" s="76"/>
      <c r="B89" s="102" t="s">
        <v>288</v>
      </c>
      <c r="C89" s="76"/>
      <c r="D89" s="76"/>
      <c r="E89" s="99">
        <f>E88</f>
        <v>423658.27100000001</v>
      </c>
      <c r="F89" s="77">
        <f>F88</f>
        <v>0.36990597918356655</v>
      </c>
      <c r="G89" s="99">
        <f t="shared" ref="G89" si="29">G88+E89</f>
        <v>891280.04200000002</v>
      </c>
      <c r="H89" s="77">
        <f t="shared" ref="H89" si="30">H88+F89</f>
        <v>0.77819752199002945</v>
      </c>
      <c r="I89" s="99">
        <f t="shared" ref="I89" si="31">I88+G89</f>
        <v>1145313.3900000001</v>
      </c>
      <c r="J89" s="77">
        <f>J88+H89</f>
        <v>1.0000000000000002</v>
      </c>
      <c r="K89" s="76"/>
      <c r="L89" s="76"/>
    </row>
    <row r="90" spans="1:12" hidden="1" x14ac:dyDescent="0.2">
      <c r="A90" s="444" t="s">
        <v>303</v>
      </c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</row>
    <row r="91" spans="1:12" hidden="1" x14ac:dyDescent="0.2">
      <c r="A91" s="93"/>
      <c r="B91" s="93"/>
      <c r="C91" s="93" t="s">
        <v>283</v>
      </c>
      <c r="D91" s="93"/>
      <c r="E91" s="93" t="s">
        <v>284</v>
      </c>
      <c r="F91" s="93" t="s">
        <v>279</v>
      </c>
      <c r="G91" s="93" t="s">
        <v>284</v>
      </c>
      <c r="H91" s="93" t="s">
        <v>279</v>
      </c>
      <c r="I91" s="93" t="s">
        <v>285</v>
      </c>
      <c r="J91" s="94" t="s">
        <v>279</v>
      </c>
      <c r="K91" s="93" t="s">
        <v>285</v>
      </c>
      <c r="L91" s="93" t="s">
        <v>279</v>
      </c>
    </row>
    <row r="92" spans="1:12" hidden="1" x14ac:dyDescent="0.2">
      <c r="A92" s="93">
        <v>1</v>
      </c>
      <c r="B92" s="101" t="e">
        <f>ORÇAMENTO!#REF!</f>
        <v>#REF!</v>
      </c>
      <c r="C92" s="95" t="e">
        <f>ORÇAMENTO!#REF!</f>
        <v>#REF!</v>
      </c>
      <c r="D92" s="94" t="e">
        <f>C92/C102</f>
        <v>#REF!</v>
      </c>
      <c r="E92" s="95" t="e">
        <f>F92*C92</f>
        <v>#REF!</v>
      </c>
      <c r="F92" s="94">
        <v>1</v>
      </c>
      <c r="G92" s="95" t="e">
        <f>H92*C92</f>
        <v>#REF!</v>
      </c>
      <c r="H92" s="93"/>
      <c r="I92" s="95" t="e">
        <f>J92*C92</f>
        <v>#REF!</v>
      </c>
      <c r="J92" s="94"/>
      <c r="K92" s="96" t="e">
        <f>E92+G92+I92</f>
        <v>#REF!</v>
      </c>
      <c r="L92" s="97" t="e">
        <f>K92/C92</f>
        <v>#REF!</v>
      </c>
    </row>
    <row r="93" spans="1:12" hidden="1" x14ac:dyDescent="0.2">
      <c r="A93" s="93"/>
      <c r="B93" s="101"/>
      <c r="C93" s="93"/>
      <c r="D93" s="93"/>
      <c r="E93" s="95">
        <f t="shared" ref="E93:E101" si="32">F93*C93</f>
        <v>0</v>
      </c>
      <c r="F93" s="93"/>
      <c r="G93" s="95">
        <f t="shared" ref="G93:G101" si="33">H93*C93</f>
        <v>0</v>
      </c>
      <c r="H93" s="93"/>
      <c r="I93" s="95">
        <f t="shared" ref="I93:I101" si="34">J93*C93</f>
        <v>0</v>
      </c>
      <c r="J93" s="94"/>
      <c r="K93" s="95"/>
      <c r="L93" s="93"/>
    </row>
    <row r="94" spans="1:12" hidden="1" x14ac:dyDescent="0.2">
      <c r="A94" s="93">
        <v>2</v>
      </c>
      <c r="B94" s="101" t="e">
        <f>ORÇAMENTO!#REF!</f>
        <v>#REF!</v>
      </c>
      <c r="C94" s="95" t="e">
        <f>ORÇAMENTO!#REF!</f>
        <v>#REF!</v>
      </c>
      <c r="D94" s="94" t="e">
        <f>C94/C102</f>
        <v>#REF!</v>
      </c>
      <c r="E94" s="95" t="e">
        <f t="shared" si="32"/>
        <v>#REF!</v>
      </c>
      <c r="F94" s="94">
        <v>1</v>
      </c>
      <c r="G94" s="95" t="e">
        <f t="shared" si="33"/>
        <v>#REF!</v>
      </c>
      <c r="H94" s="94"/>
      <c r="I94" s="95" t="e">
        <f t="shared" si="34"/>
        <v>#REF!</v>
      </c>
      <c r="J94" s="94"/>
      <c r="K94" s="96" t="e">
        <f>E94+G94+I94</f>
        <v>#REF!</v>
      </c>
      <c r="L94" s="97" t="e">
        <f>K94/C94</f>
        <v>#REF!</v>
      </c>
    </row>
    <row r="95" spans="1:12" hidden="1" x14ac:dyDescent="0.2">
      <c r="A95" s="93"/>
      <c r="B95" s="101"/>
      <c r="C95" s="93"/>
      <c r="D95" s="93"/>
      <c r="E95" s="95">
        <f t="shared" si="32"/>
        <v>0</v>
      </c>
      <c r="F95" s="93"/>
      <c r="G95" s="95">
        <f t="shared" si="33"/>
        <v>0</v>
      </c>
      <c r="H95" s="93"/>
      <c r="I95" s="95">
        <f t="shared" si="34"/>
        <v>0</v>
      </c>
      <c r="J95" s="94"/>
      <c r="K95" s="95"/>
      <c r="L95" s="93"/>
    </row>
    <row r="96" spans="1:12" hidden="1" x14ac:dyDescent="0.2">
      <c r="A96" s="93">
        <v>3</v>
      </c>
      <c r="B96" s="101" t="e">
        <f>ORÇAMENTO!#REF!</f>
        <v>#REF!</v>
      </c>
      <c r="C96" s="95" t="e">
        <f>ORÇAMENTO!#REF!</f>
        <v>#REF!</v>
      </c>
      <c r="D96" s="94" t="e">
        <f>C96/C102</f>
        <v>#REF!</v>
      </c>
      <c r="E96" s="95" t="e">
        <f t="shared" si="32"/>
        <v>#REF!</v>
      </c>
      <c r="F96" s="94">
        <v>0.1</v>
      </c>
      <c r="G96" s="95" t="e">
        <f t="shared" si="33"/>
        <v>#REF!</v>
      </c>
      <c r="H96" s="94">
        <v>0.9</v>
      </c>
      <c r="I96" s="95" t="e">
        <f t="shared" si="34"/>
        <v>#REF!</v>
      </c>
      <c r="J96" s="94"/>
      <c r="K96" s="96" t="e">
        <f>E96+G96+I96</f>
        <v>#REF!</v>
      </c>
      <c r="L96" s="97" t="e">
        <f>K96/C96</f>
        <v>#REF!</v>
      </c>
    </row>
    <row r="97" spans="1:12" hidden="1" x14ac:dyDescent="0.2">
      <c r="A97" s="93"/>
      <c r="B97" s="101"/>
      <c r="C97" s="93"/>
      <c r="D97" s="93"/>
      <c r="E97" s="95">
        <f t="shared" si="32"/>
        <v>0</v>
      </c>
      <c r="F97" s="93"/>
      <c r="G97" s="95">
        <f t="shared" si="33"/>
        <v>0</v>
      </c>
      <c r="H97" s="93"/>
      <c r="I97" s="95">
        <f t="shared" si="34"/>
        <v>0</v>
      </c>
      <c r="J97" s="94"/>
      <c r="K97" s="95"/>
      <c r="L97" s="93"/>
    </row>
    <row r="98" spans="1:12" hidden="1" x14ac:dyDescent="0.2">
      <c r="A98" s="93">
        <v>4</v>
      </c>
      <c r="B98" s="101" t="e">
        <f>ORÇAMENTO!#REF!</f>
        <v>#REF!</v>
      </c>
      <c r="C98" s="95" t="e">
        <f>ORÇAMENTO!#REF!</f>
        <v>#REF!</v>
      </c>
      <c r="D98" s="94" t="e">
        <f>C98/C102</f>
        <v>#REF!</v>
      </c>
      <c r="E98" s="95" t="e">
        <f t="shared" si="32"/>
        <v>#REF!</v>
      </c>
      <c r="F98" s="94"/>
      <c r="G98" s="95" t="e">
        <f t="shared" si="33"/>
        <v>#REF!</v>
      </c>
      <c r="H98" s="94">
        <v>0.4</v>
      </c>
      <c r="I98" s="95" t="e">
        <f t="shared" si="34"/>
        <v>#REF!</v>
      </c>
      <c r="J98" s="94">
        <v>0.6</v>
      </c>
      <c r="K98" s="96" t="e">
        <f>E98+G98+I98</f>
        <v>#REF!</v>
      </c>
      <c r="L98" s="97" t="e">
        <f>K98/C98</f>
        <v>#REF!</v>
      </c>
    </row>
    <row r="99" spans="1:12" hidden="1" x14ac:dyDescent="0.2">
      <c r="A99" s="93"/>
      <c r="B99" s="101"/>
      <c r="C99" s="93"/>
      <c r="D99" s="93"/>
      <c r="E99" s="95">
        <f t="shared" si="32"/>
        <v>0</v>
      </c>
      <c r="F99" s="93"/>
      <c r="G99" s="95">
        <f t="shared" si="33"/>
        <v>0</v>
      </c>
      <c r="H99" s="98"/>
      <c r="I99" s="95">
        <f t="shared" si="34"/>
        <v>0</v>
      </c>
      <c r="J99" s="94"/>
      <c r="K99" s="95"/>
      <c r="L99" s="93"/>
    </row>
    <row r="100" spans="1:12" hidden="1" x14ac:dyDescent="0.2">
      <c r="A100" s="93">
        <v>5</v>
      </c>
      <c r="B100" s="101" t="e">
        <f>ORÇAMENTO!#REF!</f>
        <v>#REF!</v>
      </c>
      <c r="C100" s="95" t="e">
        <f>ORÇAMENTO!#REF!</f>
        <v>#REF!</v>
      </c>
      <c r="D100" s="94" t="e">
        <f>C100/C102</f>
        <v>#REF!</v>
      </c>
      <c r="E100" s="95" t="e">
        <f t="shared" si="32"/>
        <v>#REF!</v>
      </c>
      <c r="F100" s="94"/>
      <c r="G100" s="95" t="e">
        <f t="shared" si="33"/>
        <v>#REF!</v>
      </c>
      <c r="H100" s="94"/>
      <c r="I100" s="95" t="e">
        <f t="shared" si="34"/>
        <v>#REF!</v>
      </c>
      <c r="J100" s="94">
        <v>1</v>
      </c>
      <c r="K100" s="96" t="e">
        <f>E100+G100+I100</f>
        <v>#REF!</v>
      </c>
      <c r="L100" s="97" t="e">
        <f>K100/C100</f>
        <v>#REF!</v>
      </c>
    </row>
    <row r="101" spans="1:12" hidden="1" x14ac:dyDescent="0.2">
      <c r="A101" s="93"/>
      <c r="B101" s="101"/>
      <c r="C101" s="93"/>
      <c r="D101" s="93"/>
      <c r="E101" s="95">
        <f t="shared" si="32"/>
        <v>0</v>
      </c>
      <c r="F101" s="93"/>
      <c r="G101" s="95">
        <f t="shared" si="33"/>
        <v>0</v>
      </c>
      <c r="H101" s="93"/>
      <c r="I101" s="95">
        <f t="shared" si="34"/>
        <v>0</v>
      </c>
      <c r="J101" s="94"/>
      <c r="K101" s="95"/>
      <c r="L101" s="93"/>
    </row>
    <row r="102" spans="1:12" hidden="1" x14ac:dyDescent="0.2">
      <c r="A102" s="76"/>
      <c r="B102" s="102" t="s">
        <v>286</v>
      </c>
      <c r="C102" s="99" t="e">
        <f>SUM(C92:C101)</f>
        <v>#REF!</v>
      </c>
      <c r="D102" s="100" t="e">
        <f>D92+D94+D96+D98+D100</f>
        <v>#REF!</v>
      </c>
      <c r="E102" s="99"/>
      <c r="F102" s="76"/>
      <c r="G102" s="99"/>
      <c r="H102" s="76"/>
      <c r="I102" s="99"/>
      <c r="J102" s="77"/>
      <c r="K102" s="99" t="e">
        <f>K100+K98+K96+K94+K92</f>
        <v>#REF!</v>
      </c>
      <c r="L102" s="100" t="e">
        <f>K102/C102</f>
        <v>#REF!</v>
      </c>
    </row>
    <row r="103" spans="1:12" hidden="1" x14ac:dyDescent="0.2">
      <c r="A103" s="93"/>
      <c r="B103" s="101" t="s">
        <v>287</v>
      </c>
      <c r="C103" s="93"/>
      <c r="D103" s="93"/>
      <c r="E103" s="95" t="e">
        <f>SUM(E92:E102)</f>
        <v>#REF!</v>
      </c>
      <c r="F103" s="94" t="e">
        <f>E103/C102</f>
        <v>#REF!</v>
      </c>
      <c r="G103" s="95" t="e">
        <f>SUM(G92:G102)</f>
        <v>#REF!</v>
      </c>
      <c r="H103" s="94" t="e">
        <f>G103/C102</f>
        <v>#REF!</v>
      </c>
      <c r="I103" s="95" t="e">
        <f>SUM(I92:I102)</f>
        <v>#REF!</v>
      </c>
      <c r="J103" s="94" t="e">
        <f>I103/C102</f>
        <v>#REF!</v>
      </c>
      <c r="K103" s="93"/>
      <c r="L103" s="93"/>
    </row>
    <row r="104" spans="1:12" hidden="1" x14ac:dyDescent="0.2">
      <c r="A104" s="76"/>
      <c r="B104" s="102" t="s">
        <v>288</v>
      </c>
      <c r="C104" s="76"/>
      <c r="D104" s="76"/>
      <c r="E104" s="99" t="e">
        <f>E103</f>
        <v>#REF!</v>
      </c>
      <c r="F104" s="77" t="e">
        <f>F103</f>
        <v>#REF!</v>
      </c>
      <c r="G104" s="99" t="e">
        <f t="shared" ref="G104" si="35">G103+E104</f>
        <v>#REF!</v>
      </c>
      <c r="H104" s="77" t="e">
        <f t="shared" ref="H104" si="36">H103+F104</f>
        <v>#REF!</v>
      </c>
      <c r="I104" s="99" t="e">
        <f t="shared" ref="I104" si="37">I103+G104</f>
        <v>#REF!</v>
      </c>
      <c r="J104" s="77" t="e">
        <f>J103+H104</f>
        <v>#REF!</v>
      </c>
      <c r="K104" s="76"/>
      <c r="L104" s="76"/>
    </row>
    <row r="105" spans="1:12" hidden="1" x14ac:dyDescent="0.2">
      <c r="A105" s="86"/>
      <c r="B105" s="86"/>
      <c r="C105" s="88"/>
      <c r="D105" s="87"/>
      <c r="E105" s="88"/>
      <c r="F105" s="87"/>
      <c r="G105" s="88"/>
      <c r="H105" s="87"/>
      <c r="I105" s="88"/>
      <c r="J105" s="87"/>
      <c r="K105" s="88"/>
      <c r="L105" s="89"/>
    </row>
    <row r="106" spans="1:12" x14ac:dyDescent="0.2">
      <c r="A106" s="444" t="s">
        <v>304</v>
      </c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</row>
    <row r="107" spans="1:12" x14ac:dyDescent="0.2">
      <c r="A107" s="76" t="s">
        <v>91</v>
      </c>
      <c r="B107" s="76" t="s">
        <v>277</v>
      </c>
      <c r="C107" s="76" t="s">
        <v>278</v>
      </c>
      <c r="D107" s="76" t="s">
        <v>279</v>
      </c>
      <c r="E107" s="442" t="s">
        <v>296</v>
      </c>
      <c r="F107" s="443"/>
      <c r="G107" s="442" t="s">
        <v>297</v>
      </c>
      <c r="H107" s="443"/>
      <c r="I107" s="442" t="s">
        <v>298</v>
      </c>
      <c r="J107" s="443"/>
      <c r="K107" s="442" t="s">
        <v>283</v>
      </c>
      <c r="L107" s="443"/>
    </row>
    <row r="108" spans="1:12" x14ac:dyDescent="0.2">
      <c r="A108" s="93"/>
      <c r="B108" s="101"/>
      <c r="C108" s="93" t="s">
        <v>283</v>
      </c>
      <c r="D108" s="93"/>
      <c r="E108" s="93" t="s">
        <v>284</v>
      </c>
      <c r="F108" s="93" t="s">
        <v>279</v>
      </c>
      <c r="G108" s="93" t="s">
        <v>284</v>
      </c>
      <c r="H108" s="93" t="s">
        <v>279</v>
      </c>
      <c r="I108" s="93" t="s">
        <v>285</v>
      </c>
      <c r="J108" s="94" t="s">
        <v>279</v>
      </c>
      <c r="K108" s="93" t="s">
        <v>285</v>
      </c>
      <c r="L108" s="93" t="s">
        <v>279</v>
      </c>
    </row>
    <row r="109" spans="1:12" x14ac:dyDescent="0.2">
      <c r="A109" s="93">
        <v>1</v>
      </c>
      <c r="B109" s="101" t="str">
        <f>ORÇAMENTO!D425</f>
        <v>SERVIÇOS INICIAIS</v>
      </c>
      <c r="C109" s="95">
        <f>ORÇAMENTO!J428</f>
        <v>1253.23</v>
      </c>
      <c r="D109" s="94">
        <f>C109/C117</f>
        <v>5.5037941542427308E-3</v>
      </c>
      <c r="E109" s="95">
        <f>F109*C109</f>
        <v>1253.23</v>
      </c>
      <c r="F109" s="94">
        <v>1</v>
      </c>
      <c r="G109" s="95">
        <f>H109*C109</f>
        <v>0</v>
      </c>
      <c r="H109" s="93"/>
      <c r="I109" s="95">
        <f>J109*C109</f>
        <v>0</v>
      </c>
      <c r="J109" s="94"/>
      <c r="K109" s="96">
        <f>E109+G109+I109</f>
        <v>1253.23</v>
      </c>
      <c r="L109" s="97">
        <f>K109/C109</f>
        <v>1</v>
      </c>
    </row>
    <row r="110" spans="1:12" x14ac:dyDescent="0.2">
      <c r="A110" s="93"/>
      <c r="B110" s="101"/>
      <c r="C110" s="93"/>
      <c r="D110" s="93"/>
      <c r="E110" s="95">
        <f t="shared" ref="E110:E116" si="38">F110*C110</f>
        <v>0</v>
      </c>
      <c r="F110" s="93"/>
      <c r="G110" s="95">
        <f t="shared" ref="G110:G116" si="39">H110*C110</f>
        <v>0</v>
      </c>
      <c r="H110" s="93"/>
      <c r="I110" s="95">
        <f t="shared" ref="I110:I116" si="40">J110*C110</f>
        <v>0</v>
      </c>
      <c r="J110" s="94"/>
      <c r="K110" s="95"/>
      <c r="L110" s="93"/>
    </row>
    <row r="111" spans="1:12" x14ac:dyDescent="0.2">
      <c r="A111" s="93">
        <v>2</v>
      </c>
      <c r="B111" s="101" t="str">
        <f>ORÇAMENTO!D436</f>
        <v>PAVIMENTAÇÃO</v>
      </c>
      <c r="C111" s="95">
        <f>ORÇAMENTO!J449</f>
        <v>118028.23</v>
      </c>
      <c r="D111" s="94">
        <f>C111/C117</f>
        <v>0.51834306736163072</v>
      </c>
      <c r="E111" s="95">
        <f t="shared" si="38"/>
        <v>70816.937999999995</v>
      </c>
      <c r="F111" s="94">
        <v>0.6</v>
      </c>
      <c r="G111" s="95">
        <f t="shared" si="39"/>
        <v>47211.292000000001</v>
      </c>
      <c r="H111" s="94">
        <v>0.4</v>
      </c>
      <c r="I111" s="95">
        <f t="shared" si="40"/>
        <v>0</v>
      </c>
      <c r="J111" s="94"/>
      <c r="K111" s="96">
        <f>E111+G111+I111</f>
        <v>118028.23</v>
      </c>
      <c r="L111" s="97">
        <f>K111/C111</f>
        <v>1</v>
      </c>
    </row>
    <row r="112" spans="1:12" x14ac:dyDescent="0.2">
      <c r="A112" s="93"/>
      <c r="B112" s="101"/>
      <c r="C112" s="93"/>
      <c r="D112" s="93"/>
      <c r="E112" s="95">
        <f t="shared" si="38"/>
        <v>0</v>
      </c>
      <c r="F112" s="93"/>
      <c r="G112" s="95">
        <f t="shared" si="39"/>
        <v>0</v>
      </c>
      <c r="H112" s="93"/>
      <c r="I112" s="95">
        <f t="shared" si="40"/>
        <v>0</v>
      </c>
      <c r="J112" s="94"/>
      <c r="K112" s="95"/>
      <c r="L112" s="93"/>
    </row>
    <row r="113" spans="1:12" x14ac:dyDescent="0.2">
      <c r="A113" s="93">
        <v>3</v>
      </c>
      <c r="B113" s="101" t="str">
        <f>ORÇAMENTO!D450</f>
        <v>OBRAS COMPLEMENTARES E PASSEIOS COM ACESSIBILIDADE</v>
      </c>
      <c r="C113" s="95">
        <f>ORÇAMENTO!J467</f>
        <v>86034.45</v>
      </c>
      <c r="D113" s="94">
        <f>C113/C117</f>
        <v>0.37783639313891981</v>
      </c>
      <c r="E113" s="95">
        <f t="shared" si="38"/>
        <v>8603.4449999999997</v>
      </c>
      <c r="F113" s="94">
        <v>0.1</v>
      </c>
      <c r="G113" s="95">
        <f t="shared" si="39"/>
        <v>68827.56</v>
      </c>
      <c r="H113" s="94">
        <v>0.8</v>
      </c>
      <c r="I113" s="95">
        <f t="shared" si="40"/>
        <v>8603.4449999999997</v>
      </c>
      <c r="J113" s="94">
        <v>0.1</v>
      </c>
      <c r="K113" s="96">
        <f>E113+G113+I113</f>
        <v>86034.450000000012</v>
      </c>
      <c r="L113" s="97">
        <f>K113/C113</f>
        <v>1.0000000000000002</v>
      </c>
    </row>
    <row r="114" spans="1:12" x14ac:dyDescent="0.2">
      <c r="A114" s="93"/>
      <c r="B114" s="101"/>
      <c r="C114" s="93"/>
      <c r="D114" s="93"/>
      <c r="E114" s="95">
        <f t="shared" si="38"/>
        <v>0</v>
      </c>
      <c r="F114" s="93"/>
      <c r="G114" s="95">
        <f t="shared" si="39"/>
        <v>0</v>
      </c>
      <c r="H114" s="93"/>
      <c r="I114" s="95">
        <f t="shared" si="40"/>
        <v>0</v>
      </c>
      <c r="J114" s="94"/>
      <c r="K114" s="95"/>
      <c r="L114" s="93"/>
    </row>
    <row r="115" spans="1:12" x14ac:dyDescent="0.2">
      <c r="A115" s="93">
        <v>4</v>
      </c>
      <c r="B115" s="101" t="str">
        <f>ORÇAMENTO!D469</f>
        <v>SINALIZAÇÃO</v>
      </c>
      <c r="C115" s="95">
        <f>ORÇAMENTO!J492</f>
        <v>22387.01</v>
      </c>
      <c r="D115" s="94">
        <f>C115/C117</f>
        <v>9.8316745345206819E-2</v>
      </c>
      <c r="E115" s="95">
        <f t="shared" si="38"/>
        <v>0</v>
      </c>
      <c r="F115" s="94"/>
      <c r="G115" s="95">
        <f t="shared" si="39"/>
        <v>8954.8040000000001</v>
      </c>
      <c r="H115" s="94">
        <v>0.4</v>
      </c>
      <c r="I115" s="95">
        <f t="shared" si="40"/>
        <v>13432.205999999998</v>
      </c>
      <c r="J115" s="94">
        <v>0.6</v>
      </c>
      <c r="K115" s="96">
        <f>E115+G115+I115</f>
        <v>22387.01</v>
      </c>
      <c r="L115" s="97">
        <f>K115/C115</f>
        <v>1</v>
      </c>
    </row>
    <row r="116" spans="1:12" x14ac:dyDescent="0.2">
      <c r="A116" s="93"/>
      <c r="B116" s="101"/>
      <c r="C116" s="93"/>
      <c r="D116" s="93"/>
      <c r="E116" s="95">
        <f t="shared" si="38"/>
        <v>0</v>
      </c>
      <c r="F116" s="93"/>
      <c r="G116" s="95">
        <f t="shared" si="39"/>
        <v>0</v>
      </c>
      <c r="H116" s="98"/>
      <c r="I116" s="95">
        <f t="shared" si="40"/>
        <v>0</v>
      </c>
      <c r="J116" s="94"/>
      <c r="K116" s="95"/>
      <c r="L116" s="93"/>
    </row>
    <row r="117" spans="1:12" x14ac:dyDescent="0.2">
      <c r="A117" s="76"/>
      <c r="B117" s="102" t="s">
        <v>286</v>
      </c>
      <c r="C117" s="99">
        <f>SUM(C109:C116)</f>
        <v>227702.91999999998</v>
      </c>
      <c r="D117" s="100">
        <f>D109+D111+D113+D115</f>
        <v>1</v>
      </c>
      <c r="E117" s="99"/>
      <c r="F117" s="76"/>
      <c r="G117" s="99"/>
      <c r="H117" s="76"/>
      <c r="I117" s="99"/>
      <c r="J117" s="77"/>
      <c r="K117" s="99">
        <f>K115+K113+K111+K109</f>
        <v>227702.92</v>
      </c>
      <c r="L117" s="100">
        <f>K117/C117</f>
        <v>1.0000000000000002</v>
      </c>
    </row>
    <row r="118" spans="1:12" x14ac:dyDescent="0.2">
      <c r="A118" s="93"/>
      <c r="B118" s="101" t="s">
        <v>287</v>
      </c>
      <c r="C118" s="93"/>
      <c r="D118" s="93"/>
      <c r="E118" s="95">
        <f>SUM(E109:E117)</f>
        <v>80673.612999999983</v>
      </c>
      <c r="F118" s="94">
        <f>E118/C117</f>
        <v>0.35429327388511306</v>
      </c>
      <c r="G118" s="95">
        <f>SUM(G109:G117)</f>
        <v>124993.656</v>
      </c>
      <c r="H118" s="94">
        <f>G118/C117</f>
        <v>0.54893303959387085</v>
      </c>
      <c r="I118" s="95">
        <f>SUM(I109:I117)</f>
        <v>22035.650999999998</v>
      </c>
      <c r="J118" s="94">
        <f>I118/C117</f>
        <v>9.6773686521016061E-2</v>
      </c>
      <c r="K118" s="93"/>
      <c r="L118" s="93"/>
    </row>
    <row r="119" spans="1:12" x14ac:dyDescent="0.2">
      <c r="A119" s="76"/>
      <c r="B119" s="102" t="s">
        <v>288</v>
      </c>
      <c r="C119" s="76"/>
      <c r="D119" s="76"/>
      <c r="E119" s="99">
        <f>E118</f>
        <v>80673.612999999983</v>
      </c>
      <c r="F119" s="77">
        <f>F118</f>
        <v>0.35429327388511306</v>
      </c>
      <c r="G119" s="99">
        <f t="shared" ref="G119" si="41">G118+E119</f>
        <v>205667.26899999997</v>
      </c>
      <c r="H119" s="77">
        <f t="shared" ref="H119" si="42">H118+F119</f>
        <v>0.90322631347898397</v>
      </c>
      <c r="I119" s="99">
        <f t="shared" ref="I119" si="43">I118+G119</f>
        <v>227702.91999999998</v>
      </c>
      <c r="J119" s="77">
        <f>J118+H119</f>
        <v>1</v>
      </c>
      <c r="K119" s="76"/>
      <c r="L119" s="76"/>
    </row>
    <row r="120" spans="1:12" x14ac:dyDescent="0.2">
      <c r="A120" s="86"/>
      <c r="B120" s="86"/>
      <c r="C120" s="88"/>
      <c r="D120" s="87"/>
      <c r="E120" s="88"/>
      <c r="F120" s="87"/>
      <c r="G120" s="88"/>
      <c r="H120" s="87"/>
      <c r="I120" s="88"/>
      <c r="J120" s="87"/>
      <c r="K120" s="88"/>
      <c r="L120" s="89"/>
    </row>
    <row r="121" spans="1:12" x14ac:dyDescent="0.2">
      <c r="A121" s="86"/>
      <c r="B121" s="86"/>
      <c r="C121" s="86"/>
      <c r="D121" s="86"/>
      <c r="E121" s="88"/>
      <c r="F121" s="86"/>
      <c r="G121" s="88"/>
      <c r="H121" s="86"/>
      <c r="I121" s="88"/>
      <c r="J121" s="87"/>
      <c r="K121" s="88"/>
      <c r="L121" s="86"/>
    </row>
    <row r="122" spans="1:12" x14ac:dyDescent="0.2">
      <c r="A122" s="86"/>
      <c r="B122" s="86"/>
      <c r="C122" s="88"/>
      <c r="D122" s="87"/>
      <c r="E122" s="88"/>
      <c r="F122" s="87"/>
      <c r="G122" s="88"/>
      <c r="H122" s="87"/>
      <c r="I122" s="88"/>
      <c r="J122" s="87"/>
      <c r="K122" s="88"/>
      <c r="L122" s="89"/>
    </row>
    <row r="123" spans="1:12" x14ac:dyDescent="0.2">
      <c r="A123" s="86"/>
      <c r="B123" s="86"/>
      <c r="C123" s="86"/>
      <c r="D123" s="86"/>
      <c r="E123" s="88"/>
      <c r="F123" s="86"/>
      <c r="G123" s="88"/>
      <c r="H123" s="86"/>
      <c r="I123" s="88"/>
      <c r="J123" s="87"/>
      <c r="K123" s="88"/>
      <c r="L123" s="86"/>
    </row>
    <row r="124" spans="1:12" x14ac:dyDescent="0.2">
      <c r="A124" s="86"/>
      <c r="B124" s="86"/>
      <c r="C124" s="88"/>
      <c r="D124" s="87"/>
      <c r="E124" s="88"/>
      <c r="F124" s="86"/>
      <c r="G124" s="88"/>
      <c r="H124" s="87"/>
      <c r="I124" s="88"/>
      <c r="J124" s="87"/>
      <c r="K124" s="88"/>
      <c r="L124" s="89"/>
    </row>
    <row r="125" spans="1:12" x14ac:dyDescent="0.2">
      <c r="A125" s="86"/>
      <c r="B125" s="86"/>
      <c r="C125" s="86"/>
      <c r="D125" s="86"/>
      <c r="E125" s="88"/>
      <c r="F125" s="86"/>
      <c r="G125" s="88"/>
      <c r="H125" s="86"/>
      <c r="I125" s="88"/>
      <c r="J125" s="87"/>
      <c r="K125" s="88"/>
      <c r="L125" s="86"/>
    </row>
    <row r="126" spans="1:12" x14ac:dyDescent="0.2">
      <c r="A126" s="86"/>
      <c r="B126" s="86"/>
      <c r="C126" s="88"/>
      <c r="D126" s="87"/>
      <c r="E126" s="88"/>
      <c r="F126" s="87"/>
      <c r="G126" s="88"/>
      <c r="H126" s="87"/>
      <c r="I126" s="88"/>
      <c r="J126" s="87"/>
      <c r="K126" s="88"/>
      <c r="L126" s="89"/>
    </row>
    <row r="127" spans="1:12" x14ac:dyDescent="0.2">
      <c r="A127" s="86"/>
      <c r="B127" s="86"/>
      <c r="C127" s="86"/>
      <c r="D127" s="86"/>
      <c r="E127" s="88"/>
      <c r="F127" s="86"/>
      <c r="G127" s="88"/>
      <c r="H127" s="86"/>
      <c r="I127" s="88"/>
      <c r="J127" s="87"/>
      <c r="K127" s="88"/>
      <c r="L127" s="86"/>
    </row>
    <row r="128" spans="1:12" x14ac:dyDescent="0.2">
      <c r="A128" s="83"/>
      <c r="B128" s="83"/>
      <c r="C128" s="90"/>
      <c r="D128" s="91"/>
      <c r="E128" s="90"/>
      <c r="F128" s="83"/>
      <c r="G128" s="90"/>
      <c r="H128" s="83"/>
      <c r="I128" s="90"/>
      <c r="J128" s="92"/>
      <c r="K128" s="90"/>
      <c r="L128" s="91"/>
    </row>
    <row r="129" spans="1:12" x14ac:dyDescent="0.2">
      <c r="A129" s="86"/>
      <c r="B129" s="86"/>
      <c r="C129" s="86"/>
      <c r="D129" s="86"/>
      <c r="E129" s="88"/>
      <c r="F129" s="87"/>
      <c r="G129" s="88"/>
      <c r="H129" s="87"/>
      <c r="I129" s="88"/>
      <c r="J129" s="87"/>
      <c r="K129" s="86"/>
      <c r="L129" s="86"/>
    </row>
    <row r="130" spans="1:12" x14ac:dyDescent="0.2">
      <c r="A130" s="83"/>
      <c r="B130" s="83"/>
      <c r="C130" s="83"/>
      <c r="D130" s="83"/>
      <c r="E130" s="90"/>
      <c r="F130" s="92"/>
      <c r="G130" s="90"/>
      <c r="H130" s="92"/>
      <c r="I130" s="90"/>
      <c r="J130" s="92"/>
      <c r="K130" s="83"/>
      <c r="L130" s="83"/>
    </row>
    <row r="131" spans="1:12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</row>
    <row r="132" spans="1:12" x14ac:dyDescent="0.2">
      <c r="A132" s="83"/>
      <c r="B132" s="83"/>
      <c r="C132" s="83"/>
      <c r="D132" s="83"/>
      <c r="E132" s="84"/>
      <c r="F132" s="84"/>
      <c r="G132" s="84"/>
      <c r="H132" s="84"/>
      <c r="I132" s="84"/>
      <c r="J132" s="85"/>
      <c r="K132" s="84"/>
      <c r="L132" s="83"/>
    </row>
    <row r="133" spans="1:12" x14ac:dyDescent="0.2">
      <c r="A133" s="86"/>
      <c r="B133" s="86"/>
      <c r="C133" s="86"/>
      <c r="D133" s="86"/>
      <c r="E133" s="86"/>
      <c r="F133" s="86"/>
      <c r="G133" s="86"/>
      <c r="H133" s="86"/>
      <c r="I133" s="86"/>
      <c r="J133" s="87"/>
      <c r="K133" s="86"/>
      <c r="L133" s="86"/>
    </row>
    <row r="134" spans="1:12" x14ac:dyDescent="0.2">
      <c r="A134" s="86"/>
      <c r="B134" s="86"/>
      <c r="C134" s="88"/>
      <c r="D134" s="87"/>
      <c r="E134" s="88"/>
      <c r="F134" s="87"/>
      <c r="G134" s="88"/>
      <c r="H134" s="86"/>
      <c r="I134" s="88"/>
      <c r="J134" s="87"/>
      <c r="K134" s="88"/>
      <c r="L134" s="89"/>
    </row>
    <row r="135" spans="1:12" x14ac:dyDescent="0.2">
      <c r="A135" s="86"/>
      <c r="B135" s="86"/>
      <c r="C135" s="86"/>
      <c r="D135" s="86"/>
      <c r="E135" s="88"/>
      <c r="F135" s="86"/>
      <c r="G135" s="88"/>
      <c r="H135" s="86"/>
      <c r="I135" s="88"/>
      <c r="J135" s="87"/>
      <c r="K135" s="88"/>
      <c r="L135" s="86"/>
    </row>
    <row r="136" spans="1:12" x14ac:dyDescent="0.2">
      <c r="A136" s="86"/>
      <c r="B136" s="86"/>
      <c r="C136" s="88"/>
      <c r="D136" s="87"/>
      <c r="E136" s="88"/>
      <c r="F136" s="87"/>
      <c r="G136" s="88"/>
      <c r="H136" s="87"/>
      <c r="I136" s="88"/>
      <c r="J136" s="87"/>
      <c r="K136" s="88"/>
      <c r="L136" s="89"/>
    </row>
    <row r="137" spans="1:12" x14ac:dyDescent="0.2">
      <c r="A137" s="86"/>
      <c r="B137" s="86"/>
      <c r="C137" s="86"/>
      <c r="D137" s="86"/>
      <c r="E137" s="88"/>
      <c r="F137" s="86"/>
      <c r="G137" s="88"/>
      <c r="H137" s="86"/>
      <c r="I137" s="88"/>
      <c r="J137" s="87"/>
      <c r="K137" s="88"/>
      <c r="L137" s="86"/>
    </row>
    <row r="138" spans="1:12" x14ac:dyDescent="0.2">
      <c r="A138" s="86"/>
      <c r="B138" s="86"/>
      <c r="C138" s="88"/>
      <c r="D138" s="87"/>
      <c r="E138" s="88"/>
      <c r="F138" s="87"/>
      <c r="G138" s="88"/>
      <c r="H138" s="87"/>
      <c r="I138" s="88"/>
      <c r="J138" s="87"/>
      <c r="K138" s="88"/>
      <c r="L138" s="89"/>
    </row>
    <row r="139" spans="1:12" x14ac:dyDescent="0.2">
      <c r="A139" s="86"/>
      <c r="B139" s="86"/>
      <c r="C139" s="86"/>
      <c r="D139" s="86"/>
      <c r="E139" s="88"/>
      <c r="F139" s="86"/>
      <c r="G139" s="88"/>
      <c r="H139" s="86"/>
      <c r="I139" s="88"/>
      <c r="J139" s="87"/>
      <c r="K139" s="88"/>
      <c r="L139" s="86"/>
    </row>
    <row r="140" spans="1:12" x14ac:dyDescent="0.2">
      <c r="A140" s="86"/>
      <c r="B140" s="86"/>
      <c r="C140" s="88"/>
      <c r="D140" s="87"/>
      <c r="E140" s="88"/>
      <c r="F140" s="87"/>
      <c r="G140" s="88"/>
      <c r="H140" s="87"/>
      <c r="I140" s="88"/>
      <c r="J140" s="87"/>
      <c r="K140" s="88"/>
      <c r="L140" s="89"/>
    </row>
    <row r="141" spans="1:12" x14ac:dyDescent="0.2">
      <c r="A141" s="86"/>
      <c r="B141" s="86"/>
      <c r="C141" s="86"/>
      <c r="D141" s="86"/>
      <c r="E141" s="88"/>
      <c r="F141" s="86"/>
      <c r="G141" s="88"/>
      <c r="H141" s="86"/>
      <c r="I141" s="88"/>
      <c r="J141" s="87"/>
      <c r="K141" s="88"/>
      <c r="L141" s="86"/>
    </row>
    <row r="142" spans="1:12" x14ac:dyDescent="0.2">
      <c r="A142" s="86"/>
      <c r="B142" s="86"/>
      <c r="C142" s="88"/>
      <c r="D142" s="87"/>
      <c r="E142" s="88"/>
      <c r="F142" s="87"/>
      <c r="G142" s="88"/>
      <c r="H142" s="87"/>
      <c r="I142" s="88"/>
      <c r="J142" s="87"/>
      <c r="K142" s="88"/>
      <c r="L142" s="89"/>
    </row>
    <row r="143" spans="1:12" x14ac:dyDescent="0.2">
      <c r="A143" s="86"/>
      <c r="B143" s="86"/>
      <c r="C143" s="86"/>
      <c r="D143" s="86"/>
      <c r="E143" s="88"/>
      <c r="F143" s="86"/>
      <c r="G143" s="88"/>
      <c r="H143" s="86"/>
      <c r="I143" s="88"/>
      <c r="J143" s="87"/>
      <c r="K143" s="88"/>
      <c r="L143" s="86"/>
    </row>
    <row r="144" spans="1:12" x14ac:dyDescent="0.2">
      <c r="A144" s="86"/>
      <c r="B144" s="86"/>
      <c r="C144" s="88"/>
      <c r="D144" s="87"/>
      <c r="E144" s="88"/>
      <c r="F144" s="87"/>
      <c r="G144" s="88"/>
      <c r="H144" s="87"/>
      <c r="I144" s="88"/>
      <c r="J144" s="87"/>
      <c r="K144" s="88"/>
      <c r="L144" s="89"/>
    </row>
    <row r="145" spans="1:12" x14ac:dyDescent="0.2">
      <c r="A145" s="86"/>
      <c r="B145" s="86"/>
      <c r="C145" s="86"/>
      <c r="D145" s="86"/>
      <c r="E145" s="88"/>
      <c r="F145" s="86"/>
      <c r="G145" s="88"/>
      <c r="H145" s="86"/>
      <c r="I145" s="88"/>
      <c r="J145" s="87"/>
      <c r="K145" s="88"/>
      <c r="L145" s="86"/>
    </row>
    <row r="146" spans="1:12" x14ac:dyDescent="0.2">
      <c r="A146" s="86"/>
      <c r="B146" s="86"/>
      <c r="C146" s="88"/>
      <c r="D146" s="87"/>
      <c r="E146" s="88"/>
      <c r="F146" s="86"/>
      <c r="G146" s="88"/>
      <c r="H146" s="87"/>
      <c r="I146" s="88"/>
      <c r="J146" s="87"/>
      <c r="K146" s="88"/>
      <c r="L146" s="89"/>
    </row>
    <row r="147" spans="1:12" x14ac:dyDescent="0.2">
      <c r="A147" s="86"/>
      <c r="B147" s="86"/>
      <c r="C147" s="86"/>
      <c r="D147" s="86"/>
      <c r="E147" s="88"/>
      <c r="F147" s="86"/>
      <c r="G147" s="88"/>
      <c r="H147" s="86"/>
      <c r="I147" s="88"/>
      <c r="J147" s="87"/>
      <c r="K147" s="88"/>
      <c r="L147" s="86"/>
    </row>
    <row r="148" spans="1:12" x14ac:dyDescent="0.2">
      <c r="A148" s="86"/>
      <c r="B148" s="86"/>
      <c r="C148" s="88"/>
      <c r="D148" s="87"/>
      <c r="E148" s="88"/>
      <c r="F148" s="87"/>
      <c r="G148" s="88"/>
      <c r="H148" s="87"/>
      <c r="I148" s="88"/>
      <c r="J148" s="87"/>
      <c r="K148" s="88"/>
      <c r="L148" s="89"/>
    </row>
    <row r="149" spans="1:12" x14ac:dyDescent="0.2">
      <c r="A149" s="86"/>
      <c r="B149" s="86"/>
      <c r="C149" s="86"/>
      <c r="D149" s="86"/>
      <c r="E149" s="88"/>
      <c r="F149" s="86"/>
      <c r="G149" s="88"/>
      <c r="H149" s="86"/>
      <c r="I149" s="88"/>
      <c r="J149" s="87"/>
      <c r="K149" s="88"/>
      <c r="L149" s="86"/>
    </row>
    <row r="150" spans="1:12" x14ac:dyDescent="0.2">
      <c r="A150" s="83"/>
      <c r="B150" s="83"/>
      <c r="C150" s="90"/>
      <c r="D150" s="91"/>
      <c r="E150" s="90"/>
      <c r="F150" s="83"/>
      <c r="G150" s="90"/>
      <c r="H150" s="83"/>
      <c r="I150" s="90"/>
      <c r="J150" s="92"/>
      <c r="K150" s="90"/>
      <c r="L150" s="91"/>
    </row>
    <row r="151" spans="1:12" x14ac:dyDescent="0.2">
      <c r="A151" s="86"/>
      <c r="B151" s="86"/>
      <c r="C151" s="86"/>
      <c r="D151" s="86"/>
      <c r="E151" s="88"/>
      <c r="F151" s="87"/>
      <c r="G151" s="88"/>
      <c r="H151" s="87"/>
      <c r="I151" s="88"/>
      <c r="J151" s="87"/>
      <c r="K151" s="86"/>
      <c r="L151" s="86"/>
    </row>
    <row r="152" spans="1:12" x14ac:dyDescent="0.2">
      <c r="A152" s="83"/>
      <c r="B152" s="83"/>
      <c r="C152" s="83"/>
      <c r="D152" s="83"/>
      <c r="E152" s="90"/>
      <c r="F152" s="92"/>
      <c r="G152" s="90"/>
      <c r="H152" s="92"/>
      <c r="I152" s="90"/>
      <c r="J152" s="92"/>
      <c r="K152" s="83"/>
      <c r="L152" s="83"/>
    </row>
  </sheetData>
  <mergeCells count="29">
    <mergeCell ref="A35:L35"/>
    <mergeCell ref="A53:L53"/>
    <mergeCell ref="A72:L72"/>
    <mergeCell ref="E36:F36"/>
    <mergeCell ref="G36:H36"/>
    <mergeCell ref="I36:J36"/>
    <mergeCell ref="K36:L36"/>
    <mergeCell ref="E7:F7"/>
    <mergeCell ref="G7:H7"/>
    <mergeCell ref="I7:J7"/>
    <mergeCell ref="K7:L7"/>
    <mergeCell ref="K16:L16"/>
    <mergeCell ref="A15:L15"/>
    <mergeCell ref="A1:L1"/>
    <mergeCell ref="E107:F107"/>
    <mergeCell ref="G107:H107"/>
    <mergeCell ref="I107:J107"/>
    <mergeCell ref="K107:L107"/>
    <mergeCell ref="E73:F73"/>
    <mergeCell ref="G73:H73"/>
    <mergeCell ref="I73:J73"/>
    <mergeCell ref="K73:L73"/>
    <mergeCell ref="A90:L90"/>
    <mergeCell ref="A106:L106"/>
    <mergeCell ref="B3:E3"/>
    <mergeCell ref="E16:F16"/>
    <mergeCell ref="G16:H16"/>
    <mergeCell ref="I16:J16"/>
    <mergeCell ref="A6:L6"/>
  </mergeCells>
  <pageMargins left="0.51181102362204722" right="0.51181102362204722" top="2.3622047244094491" bottom="0.78740157480314965" header="0.31496062992125984" footer="0.31496062992125984"/>
  <pageSetup paperSize="9" scale="75" orientation="landscape" r:id="rId1"/>
  <rowBreaks count="3" manualBreakCount="3">
    <brk id="33" max="16383" man="1"/>
    <brk id="70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SheetLayoutView="100" workbookViewId="0">
      <selection activeCell="E31" sqref="E31"/>
    </sheetView>
  </sheetViews>
  <sheetFormatPr defaultRowHeight="12.75" x14ac:dyDescent="0.2"/>
  <cols>
    <col min="1" max="1" width="9.28515625" bestFit="1" customWidth="1"/>
    <col min="2" max="2" width="45.5703125" customWidth="1"/>
    <col min="3" max="3" width="21.85546875" bestFit="1" customWidth="1"/>
    <col min="4" max="4" width="9.28515625" bestFit="1" customWidth="1"/>
    <col min="5" max="5" width="14.85546875" bestFit="1" customWidth="1"/>
    <col min="6" max="6" width="9.28515625" bestFit="1" customWidth="1"/>
    <col min="7" max="7" width="15.85546875" bestFit="1" customWidth="1"/>
    <col min="8" max="8" width="9.28515625" bestFit="1" customWidth="1"/>
    <col min="9" max="9" width="16.5703125" bestFit="1" customWidth="1"/>
    <col min="10" max="10" width="9.7109375" bestFit="1" customWidth="1"/>
    <col min="11" max="11" width="15.85546875" bestFit="1" customWidth="1"/>
    <col min="12" max="12" width="10.85546875" bestFit="1" customWidth="1"/>
    <col min="13" max="13" width="15.85546875" bestFit="1" customWidth="1"/>
    <col min="14" max="14" width="9.28515625" bestFit="1" customWidth="1"/>
  </cols>
  <sheetData>
    <row r="1" spans="1:14" ht="15.75" x14ac:dyDescent="0.25">
      <c r="A1" s="441" t="s">
        <v>316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4" ht="15.75" x14ac:dyDescent="0.25">
      <c r="A2" s="70"/>
      <c r="B2" s="70"/>
      <c r="C2" s="70"/>
      <c r="D2" s="70"/>
      <c r="E2" s="70"/>
      <c r="F2" s="70"/>
      <c r="G2" s="70"/>
      <c r="H2" s="67"/>
      <c r="I2" s="67"/>
      <c r="J2" s="68"/>
      <c r="K2" s="69"/>
    </row>
    <row r="3" spans="1:14" x14ac:dyDescent="0.2">
      <c r="A3" s="71" t="s">
        <v>276</v>
      </c>
      <c r="B3" s="445" t="s">
        <v>315</v>
      </c>
      <c r="C3" s="445"/>
      <c r="D3" s="445"/>
      <c r="E3" s="445"/>
      <c r="F3" s="72"/>
      <c r="G3" s="72"/>
      <c r="H3" s="67"/>
      <c r="I3" s="67"/>
      <c r="J3" s="68"/>
      <c r="K3" s="69"/>
    </row>
    <row r="4" spans="1:14" x14ac:dyDescent="0.2">
      <c r="A4" s="71" t="s">
        <v>289</v>
      </c>
      <c r="B4" s="73" t="s">
        <v>314</v>
      </c>
      <c r="C4" s="71"/>
      <c r="D4" s="72" t="s">
        <v>407</v>
      </c>
      <c r="E4" s="72"/>
      <c r="F4" s="74"/>
      <c r="G4" s="75"/>
      <c r="H4" s="67"/>
      <c r="I4" s="67"/>
      <c r="J4" s="68"/>
      <c r="K4" s="69"/>
    </row>
    <row r="5" spans="1:14" ht="13.5" customHeight="1" x14ac:dyDescent="0.2">
      <c r="A5" s="444" t="s">
        <v>305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</row>
    <row r="6" spans="1:14" x14ac:dyDescent="0.2">
      <c r="A6" s="76" t="s">
        <v>91</v>
      </c>
      <c r="B6" s="76" t="s">
        <v>277</v>
      </c>
      <c r="C6" s="76" t="s">
        <v>278</v>
      </c>
      <c r="D6" s="76" t="s">
        <v>279</v>
      </c>
      <c r="E6" s="442" t="s">
        <v>306</v>
      </c>
      <c r="F6" s="443"/>
      <c r="G6" s="442" t="s">
        <v>307</v>
      </c>
      <c r="H6" s="443"/>
      <c r="I6" s="442" t="s">
        <v>308</v>
      </c>
      <c r="J6" s="443"/>
      <c r="K6" s="442" t="s">
        <v>309</v>
      </c>
      <c r="L6" s="443"/>
      <c r="M6" s="442" t="s">
        <v>283</v>
      </c>
      <c r="N6" s="443"/>
    </row>
    <row r="7" spans="1:14" x14ac:dyDescent="0.2">
      <c r="A7" s="93"/>
      <c r="B7" s="101"/>
      <c r="C7" s="93" t="s">
        <v>283</v>
      </c>
      <c r="D7" s="93"/>
      <c r="E7" s="93" t="s">
        <v>284</v>
      </c>
      <c r="F7" s="93" t="s">
        <v>279</v>
      </c>
      <c r="G7" s="93" t="s">
        <v>284</v>
      </c>
      <c r="H7" s="93" t="s">
        <v>279</v>
      </c>
      <c r="I7" s="93" t="s">
        <v>284</v>
      </c>
      <c r="J7" s="93" t="s">
        <v>279</v>
      </c>
      <c r="K7" s="93" t="s">
        <v>285</v>
      </c>
      <c r="L7" s="94" t="s">
        <v>279</v>
      </c>
      <c r="M7" s="93" t="s">
        <v>285</v>
      </c>
      <c r="N7" s="93" t="s">
        <v>279</v>
      </c>
    </row>
    <row r="8" spans="1:14" x14ac:dyDescent="0.2">
      <c r="A8" s="93">
        <v>0</v>
      </c>
      <c r="B8" s="101" t="str">
        <f>ORÇAMENTO!D10</f>
        <v>ADMINISTRAÇÃO LOCAL/PLACA DE OBRA</v>
      </c>
      <c r="C8" s="107">
        <f>ORÇAMENTO!J18</f>
        <v>188031.33999999997</v>
      </c>
      <c r="D8" s="94">
        <f>C8/C18</f>
        <v>6.6987231458259383E-2</v>
      </c>
      <c r="E8" s="95">
        <f>F8*C8</f>
        <v>150425.07199999999</v>
      </c>
      <c r="F8" s="94">
        <v>0.8</v>
      </c>
      <c r="G8" s="95">
        <f>H8*C8</f>
        <v>0</v>
      </c>
      <c r="H8" s="94"/>
      <c r="I8" s="95">
        <f>J8*C8</f>
        <v>0</v>
      </c>
      <c r="J8" s="93"/>
      <c r="K8" s="95">
        <f t="shared" ref="K8:K13" si="0">L8*C8</f>
        <v>37606.267999999996</v>
      </c>
      <c r="L8" s="94">
        <v>0.2</v>
      </c>
      <c r="M8" s="96">
        <f>G8+I8+K8+E8</f>
        <v>188031.33999999997</v>
      </c>
      <c r="N8" s="97">
        <f>M8/C8</f>
        <v>1</v>
      </c>
    </row>
    <row r="9" spans="1:14" x14ac:dyDescent="0.2">
      <c r="A9" s="93"/>
      <c r="B9" s="101"/>
      <c r="C9" s="93"/>
      <c r="D9" s="93"/>
      <c r="E9" s="95">
        <f t="shared" ref="E9" si="1">F9*A9</f>
        <v>0</v>
      </c>
      <c r="F9" s="93"/>
      <c r="G9" s="95">
        <f t="shared" ref="G9" si="2">H9*C9</f>
        <v>0</v>
      </c>
      <c r="H9" s="93"/>
      <c r="I9" s="95">
        <f t="shared" ref="I9" si="3">J9*C9</f>
        <v>0</v>
      </c>
      <c r="J9" s="93"/>
      <c r="K9" s="95">
        <f t="shared" si="0"/>
        <v>0</v>
      </c>
      <c r="L9" s="94"/>
      <c r="M9" s="95"/>
      <c r="N9" s="93"/>
    </row>
    <row r="10" spans="1:14" x14ac:dyDescent="0.2">
      <c r="A10" s="93">
        <v>1</v>
      </c>
      <c r="B10" s="101" t="str">
        <f>cronograma!A15</f>
        <v>INTERSEÇÃO 01</v>
      </c>
      <c r="C10" s="107">
        <f>ORÇAMENTO!I168</f>
        <v>722797.86</v>
      </c>
      <c r="D10" s="94">
        <f>C10/C18</f>
        <v>0.25750083760161774</v>
      </c>
      <c r="E10" s="95">
        <f>F10*C10</f>
        <v>722797.86</v>
      </c>
      <c r="F10" s="94">
        <v>1</v>
      </c>
      <c r="G10" s="95">
        <f>H10*C10</f>
        <v>0</v>
      </c>
      <c r="H10" s="94"/>
      <c r="I10" s="95">
        <f>J10*C10</f>
        <v>0</v>
      </c>
      <c r="J10" s="93"/>
      <c r="K10" s="95">
        <f t="shared" si="0"/>
        <v>0</v>
      </c>
      <c r="L10" s="94"/>
      <c r="M10" s="96">
        <f>G10+I10+K10+E10</f>
        <v>722797.86</v>
      </c>
      <c r="N10" s="97">
        <f>M10/C10</f>
        <v>1</v>
      </c>
    </row>
    <row r="11" spans="1:14" x14ac:dyDescent="0.2">
      <c r="A11" s="93"/>
      <c r="B11" s="101"/>
      <c r="C11" s="93"/>
      <c r="D11" s="93"/>
      <c r="E11" s="95">
        <f t="shared" ref="E11:E13" si="4">F11*A11</f>
        <v>0</v>
      </c>
      <c r="F11" s="93"/>
      <c r="G11" s="95">
        <f t="shared" ref="G11:G13" si="5">H11*C11</f>
        <v>0</v>
      </c>
      <c r="H11" s="93"/>
      <c r="I11" s="95">
        <f t="shared" ref="I11:I13" si="6">J11*C11</f>
        <v>0</v>
      </c>
      <c r="J11" s="93"/>
      <c r="K11" s="95">
        <f t="shared" si="0"/>
        <v>0</v>
      </c>
      <c r="L11" s="94"/>
      <c r="M11" s="95"/>
      <c r="N11" s="93"/>
    </row>
    <row r="12" spans="1:14" x14ac:dyDescent="0.2">
      <c r="A12" s="93">
        <v>4</v>
      </c>
      <c r="B12" s="101" t="s">
        <v>356</v>
      </c>
      <c r="C12" s="107">
        <f>ORÇAMENTO!I290</f>
        <v>523127.33999999997</v>
      </c>
      <c r="D12" s="94">
        <f>C12/C18</f>
        <v>0.18636708224662737</v>
      </c>
      <c r="E12" s="95">
        <f t="shared" si="4"/>
        <v>0</v>
      </c>
      <c r="F12" s="94"/>
      <c r="G12" s="95">
        <f>H12*C12</f>
        <v>523127.33999999997</v>
      </c>
      <c r="H12" s="94">
        <v>1</v>
      </c>
      <c r="I12" s="95">
        <f t="shared" si="6"/>
        <v>0</v>
      </c>
      <c r="J12" s="94"/>
      <c r="K12" s="95">
        <f t="shared" si="0"/>
        <v>0</v>
      </c>
      <c r="L12" s="94"/>
      <c r="M12" s="96">
        <f>G12+I12+K12</f>
        <v>523127.33999999997</v>
      </c>
      <c r="N12" s="97">
        <f>M12/C12</f>
        <v>1</v>
      </c>
    </row>
    <row r="13" spans="1:14" x14ac:dyDescent="0.2">
      <c r="A13" s="93"/>
      <c r="B13" s="101"/>
      <c r="C13" s="93"/>
      <c r="D13" s="94"/>
      <c r="E13" s="95">
        <f t="shared" si="4"/>
        <v>0</v>
      </c>
      <c r="F13" s="93"/>
      <c r="G13" s="95">
        <f t="shared" si="5"/>
        <v>0</v>
      </c>
      <c r="H13" s="93"/>
      <c r="I13" s="95">
        <f t="shared" si="6"/>
        <v>0</v>
      </c>
      <c r="J13" s="93"/>
      <c r="K13" s="95">
        <f t="shared" si="0"/>
        <v>0</v>
      </c>
      <c r="L13" s="94"/>
      <c r="M13" s="95"/>
      <c r="N13" s="97"/>
    </row>
    <row r="14" spans="1:14" x14ac:dyDescent="0.2">
      <c r="A14" s="93">
        <v>1</v>
      </c>
      <c r="B14" s="101" t="s">
        <v>406</v>
      </c>
      <c r="C14" s="107">
        <f>ORÇAMENTO!I420</f>
        <v>1145313.3899999999</v>
      </c>
      <c r="D14" s="94">
        <f>C14/C18</f>
        <v>0.4080243918283713</v>
      </c>
      <c r="E14" s="95">
        <f>F14*C14</f>
        <v>0</v>
      </c>
      <c r="F14" s="94"/>
      <c r="G14" s="95">
        <f>H14*C14</f>
        <v>0</v>
      </c>
      <c r="H14" s="94"/>
      <c r="I14" s="95">
        <f>J14*C14</f>
        <v>1145313.3899999999</v>
      </c>
      <c r="J14" s="98">
        <v>1</v>
      </c>
      <c r="K14" s="95">
        <f t="shared" ref="K14:K17" si="7">L14*C14</f>
        <v>0</v>
      </c>
      <c r="L14" s="94"/>
      <c r="M14" s="96">
        <f>G14+I14+K14+E14</f>
        <v>1145313.3899999999</v>
      </c>
      <c r="N14" s="97">
        <f t="shared" ref="N14" si="8">M14/C14</f>
        <v>1</v>
      </c>
    </row>
    <row r="15" spans="1:14" x14ac:dyDescent="0.2">
      <c r="A15" s="93"/>
      <c r="B15" s="101"/>
      <c r="C15" s="93"/>
      <c r="D15" s="94"/>
      <c r="E15" s="95">
        <f t="shared" ref="E15:E17" si="9">F15*A15</f>
        <v>0</v>
      </c>
      <c r="F15" s="93"/>
      <c r="G15" s="95">
        <f t="shared" ref="G15:G17" si="10">H15*C15</f>
        <v>0</v>
      </c>
      <c r="H15" s="93"/>
      <c r="I15" s="95">
        <f t="shared" ref="I15:I17" si="11">J15*C15</f>
        <v>0</v>
      </c>
      <c r="J15" s="93"/>
      <c r="K15" s="95">
        <f t="shared" si="7"/>
        <v>0</v>
      </c>
      <c r="L15" s="94"/>
      <c r="M15" s="95"/>
      <c r="N15" s="93"/>
    </row>
    <row r="16" spans="1:14" x14ac:dyDescent="0.2">
      <c r="A16" s="93">
        <v>4</v>
      </c>
      <c r="B16" s="101" t="s">
        <v>304</v>
      </c>
      <c r="C16" s="107">
        <f>ORÇAMENTO!I493</f>
        <v>227702.92</v>
      </c>
      <c r="D16" s="94">
        <f>C16/C18</f>
        <v>8.1120456865124313E-2</v>
      </c>
      <c r="E16" s="95">
        <f t="shared" si="9"/>
        <v>0</v>
      </c>
      <c r="F16" s="94"/>
      <c r="G16" s="95">
        <f t="shared" si="10"/>
        <v>0</v>
      </c>
      <c r="H16" s="94"/>
      <c r="I16" s="95">
        <f t="shared" si="11"/>
        <v>0</v>
      </c>
      <c r="J16" s="94"/>
      <c r="K16" s="95">
        <f t="shared" si="7"/>
        <v>227702.92</v>
      </c>
      <c r="L16" s="94">
        <v>1</v>
      </c>
      <c r="M16" s="96">
        <f>G16+I16+K16</f>
        <v>227702.92</v>
      </c>
      <c r="N16" s="97">
        <f>M16/C16</f>
        <v>1</v>
      </c>
    </row>
    <row r="17" spans="1:14" x14ac:dyDescent="0.2">
      <c r="A17" s="93"/>
      <c r="B17" s="101"/>
      <c r="C17" s="93"/>
      <c r="D17" s="93"/>
      <c r="E17" s="95">
        <f t="shared" si="9"/>
        <v>0</v>
      </c>
      <c r="F17" s="93"/>
      <c r="G17" s="95">
        <f t="shared" si="10"/>
        <v>0</v>
      </c>
      <c r="H17" s="93"/>
      <c r="I17" s="95">
        <f t="shared" si="11"/>
        <v>0</v>
      </c>
      <c r="J17" s="93"/>
      <c r="K17" s="95">
        <f t="shared" si="7"/>
        <v>0</v>
      </c>
      <c r="L17" s="94"/>
      <c r="M17" s="95"/>
      <c r="N17" s="93"/>
    </row>
    <row r="18" spans="1:14" x14ac:dyDescent="0.2">
      <c r="A18" s="76"/>
      <c r="B18" s="102" t="s">
        <v>286</v>
      </c>
      <c r="C18" s="108">
        <f>C12++C10+C8+C14+C16</f>
        <v>2806972.8499999996</v>
      </c>
      <c r="D18" s="100">
        <f>D10+D12+D8+D14+D16</f>
        <v>1</v>
      </c>
      <c r="E18" s="99"/>
      <c r="F18" s="76"/>
      <c r="G18" s="99"/>
      <c r="H18" s="76"/>
      <c r="I18" s="99"/>
      <c r="J18" s="76"/>
      <c r="K18" s="99"/>
      <c r="L18" s="77"/>
      <c r="M18" s="99">
        <f>M12+M10+M8+M14+M16</f>
        <v>2806972.8499999996</v>
      </c>
      <c r="N18" s="100">
        <f>M18/C18</f>
        <v>1</v>
      </c>
    </row>
    <row r="19" spans="1:14" x14ac:dyDescent="0.2">
      <c r="A19" s="93"/>
      <c r="B19" s="101" t="s">
        <v>287</v>
      </c>
      <c r="C19" s="93"/>
      <c r="D19" s="93"/>
      <c r="E19" s="95">
        <f>SUM(E8:E18)</f>
        <v>873222.93200000003</v>
      </c>
      <c r="F19" s="94">
        <f>E19/C18</f>
        <v>0.31109062276822524</v>
      </c>
      <c r="G19" s="95">
        <f>SUM(G10:G18)</f>
        <v>523127.33999999997</v>
      </c>
      <c r="H19" s="94">
        <f>G19/C18</f>
        <v>0.18636708224662737</v>
      </c>
      <c r="I19" s="95">
        <f>SUM(I8:I18)</f>
        <v>1145313.3899999999</v>
      </c>
      <c r="J19" s="94">
        <f>I19/C18</f>
        <v>0.4080243918283713</v>
      </c>
      <c r="K19" s="95">
        <f>SUM(K8:K18)</f>
        <v>265309.18800000002</v>
      </c>
      <c r="L19" s="94">
        <f>K19/C18</f>
        <v>9.451790315677619E-2</v>
      </c>
      <c r="M19" s="93"/>
      <c r="N19" s="93"/>
    </row>
    <row r="20" spans="1:14" x14ac:dyDescent="0.2">
      <c r="A20" s="76"/>
      <c r="B20" s="102" t="s">
        <v>288</v>
      </c>
      <c r="C20" s="76"/>
      <c r="D20" s="76"/>
      <c r="E20" s="99">
        <f>E19</f>
        <v>873222.93200000003</v>
      </c>
      <c r="F20" s="77">
        <f>F19</f>
        <v>0.31109062276822524</v>
      </c>
      <c r="G20" s="99">
        <f>G19+E20</f>
        <v>1396350.2719999999</v>
      </c>
      <c r="H20" s="77">
        <f>H19+F20</f>
        <v>0.49745770501485265</v>
      </c>
      <c r="I20" s="99">
        <f t="shared" ref="I20" si="12">I19+G20</f>
        <v>2541663.6619999995</v>
      </c>
      <c r="J20" s="77">
        <f>J19+H20</f>
        <v>0.905482096843224</v>
      </c>
      <c r="K20" s="99">
        <f>K19+I20</f>
        <v>2806972.8499999996</v>
      </c>
      <c r="L20" s="77">
        <f>L19+J20</f>
        <v>1.0000000000000002</v>
      </c>
      <c r="M20" s="76"/>
      <c r="N20" s="76"/>
    </row>
  </sheetData>
  <mergeCells count="8">
    <mergeCell ref="A1:L1"/>
    <mergeCell ref="B3:E3"/>
    <mergeCell ref="A5:N5"/>
    <mergeCell ref="G6:H6"/>
    <mergeCell ref="I6:J6"/>
    <mergeCell ref="K6:L6"/>
    <mergeCell ref="M6:N6"/>
    <mergeCell ref="E6:F6"/>
  </mergeCells>
  <pageMargins left="0.51181102362204722" right="0.51181102362204722" top="2.3622047244094491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COMP</vt:lpstr>
      <vt:lpstr>cronograma</vt:lpstr>
      <vt:lpstr>C GERAL</vt:lpstr>
      <vt:lpstr>COMP!Area_de_impressao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Rodrigo Becker</cp:lastModifiedBy>
  <cp:lastPrinted>2018-04-05T11:25:51Z</cp:lastPrinted>
  <dcterms:created xsi:type="dcterms:W3CDTF">2016-02-14T22:16:02Z</dcterms:created>
  <dcterms:modified xsi:type="dcterms:W3CDTF">2018-04-05T11:26:42Z</dcterms:modified>
</cp:coreProperties>
</file>